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esearch &amp; Evaluation\Power to Change - Community Business Market 2018-20\6. Data CONFIDENTIAL\2022\Market sizing\"/>
    </mc:Choice>
  </mc:AlternateContent>
  <xr:revisionPtr revIDLastSave="0" documentId="13_ncr:1_{769411C1-FF99-4297-AEC3-BF215D21604E}" xr6:coauthVersionLast="47" xr6:coauthVersionMax="47" xr10:uidLastSave="{00000000-0000-0000-0000-000000000000}"/>
  <bookViews>
    <workbookView xWindow="-110" yWindow="-110" windowWidth="19420" windowHeight="10420" xr2:uid="{08A2135A-E543-432F-875D-7EEBAC6F48DE}"/>
  </bookViews>
  <sheets>
    <sheet name="Read first" sheetId="4" r:id="rId1"/>
    <sheet name="Sector volume" sheetId="1" r:id="rId2"/>
    <sheet name="Financial and staffing data" sheetId="2" r:id="rId3"/>
    <sheet name="Estimation model" sheetId="3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  <c r="G28" i="3"/>
  <c r="G54" i="3"/>
  <c r="G53" i="3"/>
  <c r="G51" i="3"/>
  <c r="B24" i="3"/>
  <c r="G24" i="3"/>
  <c r="G50" i="3"/>
  <c r="G49" i="3"/>
  <c r="B21" i="3"/>
  <c r="G21" i="3"/>
  <c r="G47" i="3"/>
  <c r="B14" i="3"/>
  <c r="G14" i="3"/>
  <c r="G40" i="3"/>
  <c r="G41" i="3"/>
  <c r="B16" i="3"/>
  <c r="G16" i="3"/>
  <c r="G42" i="3"/>
  <c r="B17" i="3"/>
  <c r="G17" i="3"/>
  <c r="G43" i="3"/>
  <c r="B13" i="3"/>
  <c r="G13" i="3"/>
  <c r="G39" i="3"/>
  <c r="B18" i="3"/>
  <c r="E18" i="3"/>
  <c r="E44" i="3"/>
  <c r="B19" i="3"/>
  <c r="E19" i="3"/>
  <c r="E45" i="3"/>
  <c r="E46" i="3"/>
  <c r="E21" i="3"/>
  <c r="E47" i="3"/>
  <c r="B22" i="3"/>
  <c r="E22" i="3"/>
  <c r="E48" i="3"/>
  <c r="E49" i="3"/>
  <c r="E24" i="3"/>
  <c r="E50" i="3"/>
  <c r="E51" i="3"/>
  <c r="E52" i="3"/>
  <c r="E53" i="3"/>
  <c r="E28" i="3"/>
  <c r="E54" i="3"/>
  <c r="E55" i="3"/>
  <c r="E56" i="3"/>
  <c r="B31" i="3"/>
  <c r="E31" i="3"/>
  <c r="E57" i="3"/>
  <c r="E14" i="3"/>
  <c r="E40" i="3"/>
  <c r="E41" i="3"/>
  <c r="E16" i="3"/>
  <c r="E42" i="3"/>
  <c r="E17" i="3"/>
  <c r="E43" i="3"/>
  <c r="E13" i="3"/>
  <c r="E39" i="3"/>
  <c r="G32" i="3"/>
  <c r="G58" i="3"/>
  <c r="E32" i="3"/>
  <c r="E58" i="3"/>
  <c r="I13" i="3"/>
  <c r="I14" i="3"/>
  <c r="I16" i="3"/>
  <c r="I17" i="3"/>
  <c r="I18" i="3"/>
  <c r="I19" i="3"/>
  <c r="I21" i="3"/>
  <c r="I22" i="3"/>
  <c r="I24" i="3"/>
  <c r="I28" i="3"/>
  <c r="I31" i="3"/>
  <c r="I32" i="3"/>
  <c r="I58" i="3"/>
  <c r="J13" i="3"/>
  <c r="J14" i="3"/>
  <c r="J16" i="3"/>
  <c r="J17" i="3"/>
  <c r="J18" i="3"/>
  <c r="J19" i="3"/>
  <c r="J21" i="3"/>
  <c r="J22" i="3"/>
  <c r="J24" i="3"/>
  <c r="J28" i="3"/>
  <c r="J31" i="3"/>
  <c r="J32" i="3"/>
  <c r="J58" i="3"/>
  <c r="I40" i="3"/>
  <c r="J40" i="3"/>
  <c r="B15" i="3"/>
  <c r="I15" i="3"/>
  <c r="I41" i="3"/>
  <c r="J15" i="3"/>
  <c r="J41" i="3"/>
  <c r="I42" i="3"/>
  <c r="J42" i="3"/>
  <c r="I43" i="3"/>
  <c r="J43" i="3"/>
  <c r="I44" i="3"/>
  <c r="J44" i="3"/>
  <c r="I45" i="3"/>
  <c r="J45" i="3"/>
  <c r="B20" i="3"/>
  <c r="I20" i="3"/>
  <c r="I46" i="3"/>
  <c r="J20" i="3"/>
  <c r="J46" i="3"/>
  <c r="I47" i="3"/>
  <c r="J47" i="3"/>
  <c r="I48" i="3"/>
  <c r="J48" i="3"/>
  <c r="B23" i="3"/>
  <c r="I23" i="3"/>
  <c r="I49" i="3"/>
  <c r="J23" i="3"/>
  <c r="J49" i="3"/>
  <c r="I50" i="3"/>
  <c r="J50" i="3"/>
  <c r="B25" i="3"/>
  <c r="I25" i="3"/>
  <c r="I51" i="3"/>
  <c r="J25" i="3"/>
  <c r="J51" i="3"/>
  <c r="B26" i="3"/>
  <c r="I26" i="3"/>
  <c r="I52" i="3"/>
  <c r="J26" i="3"/>
  <c r="J52" i="3"/>
  <c r="B27" i="3"/>
  <c r="I27" i="3"/>
  <c r="I53" i="3"/>
  <c r="J27" i="3"/>
  <c r="J53" i="3"/>
  <c r="I54" i="3"/>
  <c r="J54" i="3"/>
  <c r="B29" i="3"/>
  <c r="I29" i="3"/>
  <c r="I55" i="3"/>
  <c r="J29" i="3"/>
  <c r="J55" i="3"/>
  <c r="B30" i="3"/>
  <c r="I30" i="3"/>
  <c r="I56" i="3"/>
  <c r="J30" i="3"/>
  <c r="J56" i="3"/>
  <c r="I57" i="3"/>
  <c r="J57" i="3"/>
  <c r="J39" i="3"/>
  <c r="I39" i="3"/>
  <c r="H28" i="3"/>
  <c r="H54" i="3"/>
  <c r="H27" i="3"/>
  <c r="H53" i="3"/>
  <c r="H25" i="3"/>
  <c r="H51" i="3"/>
  <c r="H24" i="3"/>
  <c r="H50" i="3"/>
  <c r="H23" i="3"/>
  <c r="H49" i="3"/>
  <c r="H21" i="3"/>
  <c r="H47" i="3"/>
  <c r="H14" i="3"/>
  <c r="H40" i="3"/>
  <c r="H15" i="3"/>
  <c r="H41" i="3"/>
  <c r="H16" i="3"/>
  <c r="H42" i="3"/>
  <c r="H17" i="3"/>
  <c r="H43" i="3"/>
  <c r="H13" i="3"/>
  <c r="H39" i="3"/>
  <c r="F14" i="3"/>
  <c r="F40" i="3"/>
  <c r="F15" i="3"/>
  <c r="F41" i="3"/>
  <c r="F16" i="3"/>
  <c r="F42" i="3"/>
  <c r="F17" i="3"/>
  <c r="F43" i="3"/>
  <c r="F18" i="3"/>
  <c r="F44" i="3"/>
  <c r="F19" i="3"/>
  <c r="F45" i="3"/>
  <c r="F20" i="3"/>
  <c r="F46" i="3"/>
  <c r="F21" i="3"/>
  <c r="F47" i="3"/>
  <c r="F22" i="3"/>
  <c r="F48" i="3"/>
  <c r="F23" i="3"/>
  <c r="F49" i="3"/>
  <c r="F24" i="3"/>
  <c r="F50" i="3"/>
  <c r="F25" i="3"/>
  <c r="F51" i="3"/>
  <c r="F26" i="3"/>
  <c r="F52" i="3"/>
  <c r="F27" i="3"/>
  <c r="F53" i="3"/>
  <c r="F28" i="3"/>
  <c r="F54" i="3"/>
  <c r="F29" i="3"/>
  <c r="F55" i="3"/>
  <c r="F30" i="3"/>
  <c r="F56" i="3"/>
  <c r="F31" i="3"/>
  <c r="F57" i="3"/>
  <c r="F13" i="3"/>
  <c r="F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39" i="3"/>
  <c r="B58" i="3"/>
  <c r="B59" i="3"/>
  <c r="K58" i="3"/>
  <c r="D58" i="3"/>
  <c r="K57" i="3"/>
  <c r="B32" i="3"/>
  <c r="B33" i="3"/>
  <c r="D57" i="3"/>
  <c r="C57" i="3"/>
  <c r="K56" i="3"/>
  <c r="C56" i="3"/>
  <c r="K55" i="3"/>
  <c r="D55" i="3"/>
  <c r="C55" i="3"/>
  <c r="K54" i="3"/>
  <c r="D54" i="3"/>
  <c r="C54" i="3"/>
  <c r="K53" i="3"/>
  <c r="D53" i="3"/>
  <c r="C53" i="3"/>
  <c r="K52" i="3"/>
  <c r="D52" i="3"/>
  <c r="C52" i="3"/>
  <c r="K51" i="3"/>
  <c r="D51" i="3"/>
  <c r="C51" i="3"/>
  <c r="K50" i="3"/>
  <c r="D50" i="3"/>
  <c r="C50" i="3"/>
  <c r="K49" i="3"/>
  <c r="D49" i="3"/>
  <c r="C49" i="3"/>
  <c r="K48" i="3"/>
  <c r="D48" i="3"/>
  <c r="C48" i="3"/>
  <c r="K47" i="3"/>
  <c r="D47" i="3"/>
  <c r="C47" i="3"/>
  <c r="K46" i="3"/>
  <c r="D46" i="3"/>
  <c r="C46" i="3"/>
  <c r="K45" i="3"/>
  <c r="D45" i="3"/>
  <c r="C45" i="3"/>
  <c r="K44" i="3"/>
  <c r="D44" i="3"/>
  <c r="C44" i="3"/>
  <c r="K43" i="3"/>
  <c r="D43" i="3"/>
  <c r="C43" i="3"/>
  <c r="K42" i="3"/>
  <c r="D42" i="3"/>
  <c r="C42" i="3"/>
  <c r="K41" i="3"/>
  <c r="D41" i="3"/>
  <c r="C41" i="3"/>
  <c r="K40" i="3"/>
  <c r="D40" i="3"/>
  <c r="C40" i="3"/>
  <c r="K39" i="3"/>
  <c r="D39" i="3"/>
  <c r="C39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14" i="3"/>
  <c r="K15" i="3"/>
  <c r="K16" i="3"/>
  <c r="K17" i="3"/>
  <c r="K18" i="3"/>
  <c r="K13" i="3"/>
  <c r="G15" i="3"/>
  <c r="G23" i="3"/>
  <c r="G25" i="3"/>
  <c r="G27" i="3"/>
  <c r="E15" i="3"/>
  <c r="E20" i="3"/>
  <c r="E23" i="3"/>
  <c r="E25" i="3"/>
  <c r="E26" i="3"/>
  <c r="E27" i="3"/>
  <c r="E29" i="3"/>
  <c r="E30" i="3"/>
  <c r="D32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1" i="3"/>
  <c r="D14" i="3"/>
  <c r="D15" i="3"/>
  <c r="D16" i="3"/>
  <c r="D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13" i="3"/>
  <c r="K2" i="3"/>
  <c r="K3" i="3"/>
  <c r="K1" i="3"/>
  <c r="B25" i="1"/>
  <c r="C24" i="1"/>
  <c r="G19" i="1"/>
  <c r="G17" i="1"/>
  <c r="G16" i="1"/>
  <c r="G15" i="1"/>
  <c r="G13" i="1"/>
  <c r="G10" i="1"/>
  <c r="G5" i="1"/>
</calcChain>
</file>

<file path=xl/sharedStrings.xml><?xml version="1.0" encoding="utf-8"?>
<sst xmlns="http://schemas.openxmlformats.org/spreadsheetml/2006/main" count="184" uniqueCount="95">
  <si>
    <t>Main activity (Sector category)</t>
  </si>
  <si>
    <t>n</t>
  </si>
  <si>
    <t>%</t>
  </si>
  <si>
    <t>Arts centre or facility</t>
  </si>
  <si>
    <t>Business support, employment, IAG, training and education</t>
  </si>
  <si>
    <t>Cafes and shops</t>
  </si>
  <si>
    <t>Community hubs</t>
  </si>
  <si>
    <t>Childcare</t>
  </si>
  <si>
    <t>Craft, industry and production</t>
  </si>
  <si>
    <t>Digital services, consultancy or products</t>
  </si>
  <si>
    <t>Energy</t>
  </si>
  <si>
    <t>Environment or nature conservation</t>
  </si>
  <si>
    <t>Finance</t>
  </si>
  <si>
    <t>Food, catering and production</t>
  </si>
  <si>
    <t>Health, social care and wellbeing</t>
  </si>
  <si>
    <t>Housing</t>
  </si>
  <si>
    <t>Libraries</t>
  </si>
  <si>
    <t>Pubs</t>
  </si>
  <si>
    <t>Sports and leisure</t>
  </si>
  <si>
    <t>Transport</t>
  </si>
  <si>
    <t>Village halls</t>
  </si>
  <si>
    <t>Other</t>
  </si>
  <si>
    <t>Total</t>
  </si>
  <si>
    <t>(1) 2022 and 2021 Survey data</t>
  </si>
  <si>
    <t>(2) Twine data</t>
  </si>
  <si>
    <t>(3) Secondary data</t>
  </si>
  <si>
    <t>The sum of all responses to the 2022 survey, plus those who responded in 2021 but not in 2022</t>
  </si>
  <si>
    <t>Total minus village halls</t>
  </si>
  <si>
    <t>% ex VH</t>
  </si>
  <si>
    <t>(4) Response rate in secondary</t>
  </si>
  <si>
    <t>(5) Main activity (Sector category)</t>
  </si>
  <si>
    <t>Survey / twine average</t>
  </si>
  <si>
    <t>Number of community business by sector present in the Twine data after manual coding</t>
  </si>
  <si>
    <t xml:space="preserve">Main sectors used in the survey and agreed with Power to Change. </t>
  </si>
  <si>
    <t>Data from sectors in which numbers of businesses were identified or estimated from secondary data. Village Halls treated differently due to the size of the sector.</t>
  </si>
  <si>
    <t>Total surveys from sectors with secondary data (ex VH)</t>
  </si>
  <si>
    <t>Confidence interval assuming representative survey</t>
  </si>
  <si>
    <t>Median</t>
  </si>
  <si>
    <t>Survey data (n)</t>
  </si>
  <si>
    <t>Twine (n)</t>
  </si>
  <si>
    <t>Volunteers</t>
  </si>
  <si>
    <t>Income (1)</t>
  </si>
  <si>
    <t>Staffing (1)</t>
  </si>
  <si>
    <t>Volunteers (1)</t>
  </si>
  <si>
    <t>Assets (2)</t>
  </si>
  <si>
    <t>Cafes and shops (3)</t>
  </si>
  <si>
    <t>Energy (3)</t>
  </si>
  <si>
    <t>Village halls (3)</t>
  </si>
  <si>
    <t>Craft, industry and production (4)</t>
  </si>
  <si>
    <t>Finance (4)</t>
  </si>
  <si>
    <t>Libraries (4)</t>
  </si>
  <si>
    <t>(3) Data for these three sectors was drawn from secondary sources</t>
  </si>
  <si>
    <t>(4) Median drawn from fewer than 10 observations</t>
  </si>
  <si>
    <t>(1) Number of observations and median data drawn from the 2021 and 2022 survey responses</t>
  </si>
  <si>
    <t>(2) Fixed assets data drawn from Twine data</t>
  </si>
  <si>
    <t xml:space="preserve">n </t>
  </si>
  <si>
    <t>% share</t>
  </si>
  <si>
    <t>(£m)</t>
  </si>
  <si>
    <t>Staff</t>
  </si>
  <si>
    <t>ratio v:s</t>
  </si>
  <si>
    <t>Upper limit</t>
  </si>
  <si>
    <t>Estimate</t>
  </si>
  <si>
    <t>Lower limit</t>
  </si>
  <si>
    <t>% share without village halls</t>
  </si>
  <si>
    <r>
      <t xml:space="preserve">This is the estimated response rate in secondary sectors ± </t>
    </r>
    <r>
      <rPr>
        <sz val="9.9"/>
        <color theme="1"/>
        <rFont val="Arial"/>
        <family val="2"/>
      </rPr>
      <t>confidence interval</t>
    </r>
  </si>
  <si>
    <t>Use drop down below</t>
  </si>
  <si>
    <t>Number of businesses (1)</t>
  </si>
  <si>
    <t>Sector income (2)</t>
  </si>
  <si>
    <t>Sector assets (3)</t>
  </si>
  <si>
    <t>Sector personnel (4)</t>
  </si>
  <si>
    <t>(2) Sector income. The median income multiplied by the known or estimated number of community businesses in the sector (column B; "sector volume" sheet)</t>
  </si>
  <si>
    <t>(3) Sector assets. The median assets multiplied by the known or estimated number of community businesses in the sector (column B; "sector volume" sheet)</t>
  </si>
  <si>
    <t>(4) Sector Personnel. The median number of staff and volunteers multiplied by the known or estimated number of community businesses in the sector (column B; "sector volume" sheet). Ratio is volunteers divided by staff.</t>
  </si>
  <si>
    <t>(1) Number of businesses. This is either the figure from secondary data, or derived by dividing the figure in column B of the "sector volume" spreadsheet by the response rate in cell K5.</t>
  </si>
  <si>
    <t>Table 1: Detailed Estimates</t>
  </si>
  <si>
    <t>Table 2: Rounded Estimates</t>
  </si>
  <si>
    <r>
      <t xml:space="preserve">Rate used in the tables </t>
    </r>
    <r>
      <rPr>
        <sz val="11"/>
        <color theme="1"/>
        <rFont val="Wingdings"/>
        <charset val="2"/>
      </rPr>
      <t>è</t>
    </r>
  </si>
  <si>
    <t>Estimating the size of the community business market</t>
  </si>
  <si>
    <t xml:space="preserve">This workbook summarises the key data used in estimating market size. </t>
  </si>
  <si>
    <t>An estimate is necessary as no population dataset of community businesses exists.</t>
  </si>
  <si>
    <t>1. Data from this the 2022 Community Business Market Survey, plus data from 2021 survey participants who did not participate in 2022</t>
  </si>
  <si>
    <t>2. Data from the Institute for Community Studies’ (ICS) Community Business Sector Overview data collection (formerly known as Twine).</t>
  </si>
  <si>
    <t xml:space="preserve">3. Secondary sources from specific organisations working in sectors.  </t>
  </si>
  <si>
    <t>Instead, this model uses data from three sources to estimate market size:</t>
  </si>
  <si>
    <t xml:space="preserve">Descriptions of data sources used are provided in each worksheet. </t>
  </si>
  <si>
    <t>Please use the drop down in cell K5 of the estimation model to explore the sensitivity of the model to the survey "response rate".  This rate uses two figures:</t>
  </si>
  <si>
    <r>
      <t xml:space="preserve">a. The total number of community businesses </t>
    </r>
    <r>
      <rPr>
        <b/>
        <sz val="11"/>
        <color theme="1"/>
        <rFont val="Arial"/>
        <family val="2"/>
      </rPr>
      <t>surveyed</t>
    </r>
    <r>
      <rPr>
        <sz val="11"/>
        <color theme="1"/>
        <rFont val="Arial"/>
        <family val="2"/>
      </rPr>
      <t xml:space="preserve"> in 2022 and 2021 in sectors where the total number of businesses are known, and</t>
    </r>
  </si>
  <si>
    <r>
      <t xml:space="preserve">b. The estimated total number of community businesses operating in those same sectors (the </t>
    </r>
    <r>
      <rPr>
        <b/>
        <sz val="11"/>
        <color theme="1"/>
        <rFont val="Arial"/>
        <family val="2"/>
      </rPr>
      <t>population</t>
    </r>
    <r>
      <rPr>
        <sz val="11"/>
        <color theme="1"/>
        <rFont val="Arial"/>
        <family val="2"/>
      </rPr>
      <t>)</t>
    </r>
  </si>
  <si>
    <r>
      <t xml:space="preserve">The "response rate" is the total </t>
    </r>
    <r>
      <rPr>
        <b/>
        <sz val="11"/>
        <color theme="1"/>
        <rFont val="Arial"/>
        <family val="2"/>
      </rPr>
      <t>surveyed</t>
    </r>
    <r>
      <rPr>
        <sz val="11"/>
        <color theme="1"/>
        <rFont val="Arial"/>
        <family val="2"/>
      </rPr>
      <t xml:space="preserve"> in those sectors by their </t>
    </r>
    <r>
      <rPr>
        <b/>
        <sz val="11"/>
        <color theme="1"/>
        <rFont val="Arial"/>
        <family val="2"/>
      </rPr>
      <t>population</t>
    </r>
    <r>
      <rPr>
        <sz val="11"/>
        <color theme="1"/>
        <rFont val="Arial"/>
        <family val="2"/>
      </rPr>
      <t xml:space="preserve">. </t>
    </r>
  </si>
  <si>
    <t xml:space="preserve">Please refer to the technical blog for a full methodological description. </t>
  </si>
  <si>
    <t>Sector estimates are derived by calculating measures for each buy multiplying the estimated or known number of community businesses by median figures (red sheet)</t>
  </si>
  <si>
    <t>Response rate from data with secondary data</t>
  </si>
  <si>
    <t>Survey response rate for businesses based on the populations identified in the secondary data</t>
  </si>
  <si>
    <r>
      <t xml:space="preserve">Survey and Twine data is used to estimate </t>
    </r>
    <r>
      <rPr>
        <b/>
        <sz val="11"/>
        <color theme="0"/>
        <rFont val="Arial"/>
        <family val="2"/>
      </rPr>
      <t xml:space="preserve">sector volumes </t>
    </r>
    <r>
      <rPr>
        <sz val="11"/>
        <color theme="0"/>
        <rFont val="Arial"/>
        <family val="2"/>
      </rPr>
      <t xml:space="preserve">(green sheet). Secondary data also provides a number of operational community businesses in some cases. </t>
    </r>
  </si>
  <si>
    <r>
      <t xml:space="preserve">The survey also provides median estimates for </t>
    </r>
    <r>
      <rPr>
        <b/>
        <sz val="11"/>
        <color theme="0"/>
        <rFont val="Arial"/>
        <family val="2"/>
      </rPr>
      <t>income</t>
    </r>
    <r>
      <rPr>
        <sz val="11"/>
        <color theme="0"/>
        <rFont val="Arial"/>
        <family val="2"/>
      </rPr>
      <t xml:space="preserve">, paid </t>
    </r>
    <r>
      <rPr>
        <b/>
        <sz val="11"/>
        <color theme="0"/>
        <rFont val="Arial"/>
        <family val="2"/>
      </rPr>
      <t>staff</t>
    </r>
    <r>
      <rPr>
        <sz val="11"/>
        <color theme="0"/>
        <rFont val="Arial"/>
        <family val="2"/>
      </rPr>
      <t xml:space="preserve"> and </t>
    </r>
    <r>
      <rPr>
        <b/>
        <sz val="11"/>
        <color theme="0"/>
        <rFont val="Arial"/>
        <family val="2"/>
      </rPr>
      <t>volunteer</t>
    </r>
    <r>
      <rPr>
        <sz val="11"/>
        <color theme="0"/>
        <rFont val="Arial"/>
        <family val="2"/>
      </rPr>
      <t xml:space="preserve"> numbers for most sectors. Twine provides estimates for fixed </t>
    </r>
    <r>
      <rPr>
        <b/>
        <sz val="11"/>
        <color theme="0"/>
        <rFont val="Arial"/>
        <family val="2"/>
      </rPr>
      <t>assets</t>
    </r>
    <r>
      <rPr>
        <sz val="11"/>
        <color theme="0"/>
        <rFont val="Arial"/>
        <family val="2"/>
      </rPr>
      <t xml:space="preserve"> in some sectors (blue sheet).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</si>
</sst>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8" formatCode="0.0%"/>
    <numFmt numFmtId="171" formatCode="&quot;£&quot;#,##0.0"/>
    <numFmt numFmtId="172" formatCode="&quot;£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9.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Wingdings"/>
      <charset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9" fontId="2" fillId="0" borderId="0" xfId="1" applyFont="1"/>
    <xf numFmtId="3" fontId="2" fillId="0" borderId="0" xfId="0" applyNumberFormat="1" applyFont="1"/>
    <xf numFmtId="168" fontId="2" fillId="0" borderId="0" xfId="1" applyNumberFormat="1" applyFont="1"/>
    <xf numFmtId="0" fontId="2" fillId="2" borderId="0" xfId="0" applyFont="1" applyFill="1"/>
    <xf numFmtId="0" fontId="3" fillId="3" borderId="0" xfId="0" applyFont="1" applyFill="1"/>
    <xf numFmtId="0" fontId="2" fillId="0" borderId="1" xfId="0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/>
    <xf numFmtId="171" fontId="2" fillId="0" borderId="1" xfId="0" applyNumberFormat="1" applyFont="1" applyBorder="1"/>
    <xf numFmtId="172" fontId="2" fillId="0" borderId="1" xfId="0" applyNumberFormat="1" applyFont="1" applyBorder="1"/>
    <xf numFmtId="172" fontId="2" fillId="2" borderId="1" xfId="0" applyNumberFormat="1" applyFont="1" applyFill="1" applyBorder="1"/>
    <xf numFmtId="172" fontId="3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9" fontId="2" fillId="0" borderId="1" xfId="1" applyFont="1" applyBorder="1"/>
    <xf numFmtId="1" fontId="2" fillId="0" borderId="1" xfId="0" applyNumberFormat="1" applyFont="1" applyBorder="1"/>
    <xf numFmtId="3" fontId="2" fillId="0" borderId="1" xfId="0" applyNumberFormat="1" applyFont="1" applyBorder="1"/>
    <xf numFmtId="0" fontId="2" fillId="4" borderId="0" xfId="0" applyFont="1" applyFill="1"/>
    <xf numFmtId="168" fontId="5" fillId="4" borderId="6" xfId="1" applyNumberFormat="1" applyFont="1" applyFill="1" applyBorder="1"/>
    <xf numFmtId="0" fontId="2" fillId="4" borderId="0" xfId="0" applyFont="1" applyFill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168" fontId="2" fillId="0" borderId="7" xfId="0" applyNumberFormat="1" applyFont="1" applyBorder="1"/>
    <xf numFmtId="168" fontId="2" fillId="0" borderId="7" xfId="1" applyNumberFormat="1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5" borderId="1" xfId="0" applyFont="1" applyFill="1" applyBorder="1"/>
    <xf numFmtId="9" fontId="2" fillId="0" borderId="1" xfId="1" applyNumberFormat="1" applyFont="1" applyBorder="1"/>
    <xf numFmtId="164" fontId="2" fillId="0" borderId="1" xfId="0" applyNumberFormat="1" applyFont="1" applyBorder="1"/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right"/>
    </xf>
    <xf numFmtId="0" fontId="5" fillId="0" borderId="0" xfId="0" applyFont="1"/>
    <xf numFmtId="0" fontId="7" fillId="6" borderId="0" xfId="0" applyFont="1" applyFill="1"/>
    <xf numFmtId="0" fontId="2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164" fontId="5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172" fontId="5" fillId="0" borderId="1" xfId="0" applyNumberFormat="1" applyFont="1" applyBorder="1"/>
    <xf numFmtId="172" fontId="5" fillId="0" borderId="0" xfId="0" applyNumberFormat="1" applyFont="1"/>
    <xf numFmtId="171" fontId="5" fillId="0" borderId="1" xfId="0" applyNumberFormat="1" applyFont="1" applyBorder="1"/>
    <xf numFmtId="3" fontId="5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6671C-9047-4153-8E03-8B7D791D6498}">
  <sheetPr>
    <tabColor rgb="FFFFFF00"/>
  </sheetPr>
  <dimension ref="A1:S20"/>
  <sheetViews>
    <sheetView tabSelected="1" workbookViewId="0">
      <selection activeCell="K17" sqref="K17"/>
    </sheetView>
  </sheetViews>
  <sheetFormatPr defaultRowHeight="14" x14ac:dyDescent="0.3"/>
  <cols>
    <col min="1" max="16384" width="8.7265625" style="1"/>
  </cols>
  <sheetData>
    <row r="1" spans="1:19" ht="18" x14ac:dyDescent="0.4">
      <c r="A1" s="44" t="s">
        <v>77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x14ac:dyDescent="0.3">
      <c r="A3" s="45" t="s">
        <v>89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x14ac:dyDescent="0.3">
      <c r="A4" s="45" t="s">
        <v>78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x14ac:dyDescent="0.3">
      <c r="A5" s="45" t="s">
        <v>79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x14ac:dyDescent="0.3">
      <c r="A6" s="45" t="s">
        <v>83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x14ac:dyDescent="0.3">
      <c r="A7" s="45" t="s">
        <v>80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x14ac:dyDescent="0.3">
      <c r="A8" s="45" t="s">
        <v>81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x14ac:dyDescent="0.3">
      <c r="A9" s="45" t="s">
        <v>82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x14ac:dyDescent="0.3">
      <c r="A11" s="46" t="s">
        <v>93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x14ac:dyDescent="0.3">
      <c r="A12" s="47" t="s">
        <v>94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x14ac:dyDescent="0.3">
      <c r="A13" s="48" t="s">
        <v>90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19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x14ac:dyDescent="0.3">
      <c r="A15" s="45" t="s">
        <v>84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x14ac:dyDescent="0.3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x14ac:dyDescent="0.3">
      <c r="A17" s="45" t="s">
        <v>85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x14ac:dyDescent="0.3">
      <c r="A18" s="45" t="s">
        <v>86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x14ac:dyDescent="0.3">
      <c r="A19" s="45" t="s">
        <v>87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</row>
    <row r="20" spans="1:19" x14ac:dyDescent="0.3">
      <c r="A20" s="45" t="s">
        <v>88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485A-9B66-44D9-B413-7E641F6F7A17}">
  <sheetPr>
    <tabColor theme="9" tint="-0.249977111117893"/>
  </sheetPr>
  <dimension ref="A1:J33"/>
  <sheetViews>
    <sheetView zoomScale="90" zoomScaleNormal="90" workbookViewId="0">
      <pane xSplit="1" ySplit="2" topLeftCell="B16" activePane="bottomRight" state="frozen"/>
      <selection pane="topRight" activeCell="B1" sqref="B1"/>
      <selection pane="bottomLeft" activeCell="A3" sqref="A3"/>
      <selection pane="bottomRight" activeCell="B32" sqref="A1:XFD1048576"/>
    </sheetView>
  </sheetViews>
  <sheetFormatPr defaultRowHeight="14" x14ac:dyDescent="0.3"/>
  <cols>
    <col min="1" max="1" width="54.26953125" style="1" bestFit="1" customWidth="1"/>
    <col min="2" max="9" width="12" style="1" customWidth="1"/>
    <col min="10" max="16384" width="8.7265625" style="1"/>
  </cols>
  <sheetData>
    <row r="1" spans="1:10" ht="42" customHeight="1" x14ac:dyDescent="0.3">
      <c r="A1" s="8" t="s">
        <v>30</v>
      </c>
      <c r="B1" s="18" t="s">
        <v>23</v>
      </c>
      <c r="C1" s="18"/>
      <c r="D1" s="18" t="s">
        <v>24</v>
      </c>
      <c r="E1" s="18"/>
      <c r="F1" s="18" t="s">
        <v>25</v>
      </c>
      <c r="G1" s="18"/>
      <c r="H1" s="19" t="s">
        <v>29</v>
      </c>
      <c r="I1" s="20" t="s">
        <v>31</v>
      </c>
    </row>
    <row r="2" spans="1:10" x14ac:dyDescent="0.3">
      <c r="A2" s="9"/>
      <c r="B2" s="7" t="s">
        <v>1</v>
      </c>
      <c r="C2" s="7" t="s">
        <v>2</v>
      </c>
      <c r="D2" s="7" t="s">
        <v>1</v>
      </c>
      <c r="E2" s="7" t="s">
        <v>2</v>
      </c>
      <c r="F2" s="7" t="s">
        <v>1</v>
      </c>
      <c r="G2" s="7" t="s">
        <v>28</v>
      </c>
      <c r="H2" s="19"/>
      <c r="I2" s="7" t="s">
        <v>1</v>
      </c>
    </row>
    <row r="3" spans="1:10" x14ac:dyDescent="0.3">
      <c r="A3" s="7" t="s">
        <v>3</v>
      </c>
      <c r="B3" s="7">
        <v>59</v>
      </c>
      <c r="C3" s="21">
        <v>4.4029850746268653E-2</v>
      </c>
      <c r="D3" s="7">
        <v>43</v>
      </c>
      <c r="E3" s="21">
        <v>6.4179104477611937E-2</v>
      </c>
      <c r="F3" s="7"/>
      <c r="G3" s="7"/>
      <c r="H3" s="7"/>
      <c r="I3" s="22">
        <v>51</v>
      </c>
      <c r="J3" s="2"/>
    </row>
    <row r="4" spans="1:10" x14ac:dyDescent="0.3">
      <c r="A4" s="7" t="s">
        <v>4</v>
      </c>
      <c r="B4" s="7">
        <v>254</v>
      </c>
      <c r="C4" s="21">
        <v>0.18955223880597014</v>
      </c>
      <c r="D4" s="7">
        <v>74</v>
      </c>
      <c r="E4" s="21">
        <v>0.11044776119402985</v>
      </c>
      <c r="F4" s="7"/>
      <c r="G4" s="7"/>
      <c r="H4" s="7"/>
      <c r="I4" s="22">
        <v>164</v>
      </c>
      <c r="J4" s="2"/>
    </row>
    <row r="5" spans="1:10" x14ac:dyDescent="0.3">
      <c r="A5" s="7" t="s">
        <v>5</v>
      </c>
      <c r="B5" s="7">
        <v>120</v>
      </c>
      <c r="C5" s="21">
        <v>8.9552238805970144E-2</v>
      </c>
      <c r="D5" s="7">
        <v>46</v>
      </c>
      <c r="E5" s="21">
        <v>6.8656716417910449E-2</v>
      </c>
      <c r="F5" s="7">
        <v>413</v>
      </c>
      <c r="G5" s="21">
        <f>F5/F$24</f>
        <v>0.17345653086938262</v>
      </c>
      <c r="H5" s="21">
        <v>0.29055690072639223</v>
      </c>
      <c r="I5" s="22">
        <v>83</v>
      </c>
      <c r="J5" s="2"/>
    </row>
    <row r="6" spans="1:10" x14ac:dyDescent="0.3">
      <c r="A6" s="7" t="s">
        <v>6</v>
      </c>
      <c r="B6" s="7">
        <v>346</v>
      </c>
      <c r="C6" s="21">
        <v>0.2582089552238806</v>
      </c>
      <c r="D6" s="7">
        <v>227</v>
      </c>
      <c r="E6" s="21">
        <v>0.33880597014925373</v>
      </c>
      <c r="F6" s="7"/>
      <c r="G6" s="7"/>
      <c r="H6" s="21"/>
      <c r="I6" s="22">
        <v>286.5</v>
      </c>
      <c r="J6" s="2"/>
    </row>
    <row r="7" spans="1:10" x14ac:dyDescent="0.3">
      <c r="A7" s="7" t="s">
        <v>7</v>
      </c>
      <c r="B7" s="7">
        <v>16</v>
      </c>
      <c r="C7" s="21">
        <v>1.1940298507462687E-2</v>
      </c>
      <c r="D7" s="7">
        <v>27</v>
      </c>
      <c r="E7" s="21">
        <v>4.0298507462686567E-2</v>
      </c>
      <c r="F7" s="7"/>
      <c r="G7" s="7"/>
      <c r="H7" s="21"/>
      <c r="I7" s="22">
        <v>21.5</v>
      </c>
      <c r="J7" s="2"/>
    </row>
    <row r="8" spans="1:10" x14ac:dyDescent="0.3">
      <c r="A8" s="7" t="s">
        <v>8</v>
      </c>
      <c r="B8" s="7">
        <v>14</v>
      </c>
      <c r="C8" s="21">
        <v>1.0447761194029851E-2</v>
      </c>
      <c r="D8" s="7">
        <v>11</v>
      </c>
      <c r="E8" s="21">
        <v>1.6417910447761194E-2</v>
      </c>
      <c r="F8" s="7"/>
      <c r="G8" s="7"/>
      <c r="H8" s="21"/>
      <c r="I8" s="22">
        <v>12.5</v>
      </c>
      <c r="J8" s="2"/>
    </row>
    <row r="9" spans="1:10" x14ac:dyDescent="0.3">
      <c r="A9" s="7" t="s">
        <v>9</v>
      </c>
      <c r="B9" s="7">
        <v>17</v>
      </c>
      <c r="C9" s="21">
        <v>1.2686567164179104E-2</v>
      </c>
      <c r="D9" s="7">
        <v>8</v>
      </c>
      <c r="E9" s="21">
        <v>1.1940298507462687E-2</v>
      </c>
      <c r="F9" s="7"/>
      <c r="G9" s="7"/>
      <c r="H9" s="21"/>
      <c r="I9" s="22">
        <v>12.5</v>
      </c>
      <c r="J9" s="2"/>
    </row>
    <row r="10" spans="1:10" x14ac:dyDescent="0.3">
      <c r="A10" s="7" t="s">
        <v>10</v>
      </c>
      <c r="B10" s="7">
        <v>27</v>
      </c>
      <c r="C10" s="21">
        <v>2.0149253731343283E-2</v>
      </c>
      <c r="D10" s="7">
        <v>11</v>
      </c>
      <c r="E10" s="21">
        <v>1.6417910447761194E-2</v>
      </c>
      <c r="F10" s="7">
        <v>323</v>
      </c>
      <c r="G10" s="21">
        <f>F10/F$24</f>
        <v>0.13565728685426293</v>
      </c>
      <c r="H10" s="21">
        <v>8.3591331269349839E-2</v>
      </c>
      <c r="I10" s="22">
        <v>19</v>
      </c>
      <c r="J10" s="2"/>
    </row>
    <row r="11" spans="1:10" x14ac:dyDescent="0.3">
      <c r="A11" s="7" t="s">
        <v>11</v>
      </c>
      <c r="B11" s="7">
        <v>46</v>
      </c>
      <c r="C11" s="21">
        <v>3.4328358208955224E-2</v>
      </c>
      <c r="D11" s="7">
        <v>30</v>
      </c>
      <c r="E11" s="21">
        <v>4.4776119402985072E-2</v>
      </c>
      <c r="F11" s="7"/>
      <c r="G11" s="7"/>
      <c r="H11" s="21"/>
      <c r="I11" s="22">
        <v>38</v>
      </c>
      <c r="J11" s="2"/>
    </row>
    <row r="12" spans="1:10" x14ac:dyDescent="0.3">
      <c r="A12" s="7" t="s">
        <v>12</v>
      </c>
      <c r="B12" s="7">
        <v>16</v>
      </c>
      <c r="C12" s="21">
        <v>1.1940298507462687E-2</v>
      </c>
      <c r="D12" s="7">
        <v>0</v>
      </c>
      <c r="E12" s="21">
        <v>0</v>
      </c>
      <c r="F12" s="7"/>
      <c r="G12" s="7"/>
      <c r="H12" s="21"/>
      <c r="I12" s="22">
        <v>16</v>
      </c>
      <c r="J12" s="2"/>
    </row>
    <row r="13" spans="1:10" x14ac:dyDescent="0.3">
      <c r="A13" s="7" t="s">
        <v>13</v>
      </c>
      <c r="B13" s="7">
        <v>46</v>
      </c>
      <c r="C13" s="21">
        <v>3.4328358208955224E-2</v>
      </c>
      <c r="D13" s="7">
        <v>37</v>
      </c>
      <c r="E13" s="21">
        <v>5.5223880597014927E-2</v>
      </c>
      <c r="F13" s="7">
        <v>272</v>
      </c>
      <c r="G13" s="21">
        <f>F13/F$24</f>
        <v>0.11423771524569509</v>
      </c>
      <c r="H13" s="21">
        <v>0.16911764705882354</v>
      </c>
      <c r="I13" s="22">
        <v>41.5</v>
      </c>
      <c r="J13" s="2"/>
    </row>
    <row r="14" spans="1:10" x14ac:dyDescent="0.3">
      <c r="A14" s="7" t="s">
        <v>14</v>
      </c>
      <c r="B14" s="7">
        <v>110</v>
      </c>
      <c r="C14" s="21">
        <v>8.2089552238805971E-2</v>
      </c>
      <c r="D14" s="7">
        <v>63</v>
      </c>
      <c r="E14" s="21">
        <v>9.4029850746268656E-2</v>
      </c>
      <c r="F14" s="7"/>
      <c r="G14" s="7"/>
      <c r="H14" s="21"/>
      <c r="I14" s="22">
        <v>86.5</v>
      </c>
      <c r="J14" s="2"/>
    </row>
    <row r="15" spans="1:10" x14ac:dyDescent="0.3">
      <c r="A15" s="7" t="s">
        <v>15</v>
      </c>
      <c r="B15" s="7">
        <v>43</v>
      </c>
      <c r="C15" s="21">
        <v>3.2089552238805968E-2</v>
      </c>
      <c r="D15" s="7">
        <v>14</v>
      </c>
      <c r="E15" s="21">
        <v>2.0895522388059702E-2</v>
      </c>
      <c r="F15" s="7">
        <v>550</v>
      </c>
      <c r="G15" s="21">
        <f>F15/F$24</f>
        <v>0.23099538009239814</v>
      </c>
      <c r="H15" s="21">
        <v>7.8181818181818186E-2</v>
      </c>
      <c r="I15" s="22">
        <v>28.5</v>
      </c>
      <c r="J15" s="2"/>
    </row>
    <row r="16" spans="1:10" x14ac:dyDescent="0.3">
      <c r="A16" s="7" t="s">
        <v>16</v>
      </c>
      <c r="B16" s="7">
        <v>6</v>
      </c>
      <c r="C16" s="21">
        <v>4.4776119402985077E-3</v>
      </c>
      <c r="D16" s="7">
        <v>0</v>
      </c>
      <c r="E16" s="21">
        <v>0</v>
      </c>
      <c r="F16" s="7">
        <v>350</v>
      </c>
      <c r="G16" s="21">
        <f>F16/F$24</f>
        <v>0.14699706005879881</v>
      </c>
      <c r="H16" s="21">
        <v>1.7142857142857144E-2</v>
      </c>
      <c r="I16" s="22">
        <v>6</v>
      </c>
      <c r="J16" s="2"/>
    </row>
    <row r="17" spans="1:10" x14ac:dyDescent="0.3">
      <c r="A17" s="7" t="s">
        <v>17</v>
      </c>
      <c r="B17" s="7">
        <v>64</v>
      </c>
      <c r="C17" s="21">
        <v>4.7761194029850747E-2</v>
      </c>
      <c r="D17" s="7">
        <v>22</v>
      </c>
      <c r="E17" s="21">
        <v>3.2835820895522387E-2</v>
      </c>
      <c r="F17" s="7">
        <v>123</v>
      </c>
      <c r="G17" s="21">
        <f>F17/F$24</f>
        <v>5.1658966820663586E-2</v>
      </c>
      <c r="H17" s="21">
        <v>0.52032520325203258</v>
      </c>
      <c r="I17" s="22">
        <v>43</v>
      </c>
      <c r="J17" s="2"/>
    </row>
    <row r="18" spans="1:10" x14ac:dyDescent="0.3">
      <c r="A18" s="7" t="s">
        <v>18</v>
      </c>
      <c r="B18" s="7">
        <v>78</v>
      </c>
      <c r="C18" s="21">
        <v>5.8208955223880594E-2</v>
      </c>
      <c r="D18" s="7">
        <v>57</v>
      </c>
      <c r="E18" s="21">
        <v>8.5074626865671646E-2</v>
      </c>
      <c r="F18" s="7"/>
      <c r="G18" s="7"/>
      <c r="H18" s="21"/>
      <c r="I18" s="22">
        <v>67.5</v>
      </c>
      <c r="J18" s="2"/>
    </row>
    <row r="19" spans="1:10" x14ac:dyDescent="0.3">
      <c r="A19" s="7" t="s">
        <v>19</v>
      </c>
      <c r="B19" s="7">
        <v>20</v>
      </c>
      <c r="C19" s="21">
        <v>1.4925373134328358E-2</v>
      </c>
      <c r="D19" s="7">
        <v>0</v>
      </c>
      <c r="E19" s="21">
        <v>0</v>
      </c>
      <c r="F19" s="7">
        <v>350</v>
      </c>
      <c r="G19" s="21">
        <f>F19/F$24</f>
        <v>0.14699706005879881</v>
      </c>
      <c r="H19" s="21">
        <v>5.7142857142857141E-2</v>
      </c>
      <c r="I19" s="22">
        <v>20</v>
      </c>
      <c r="J19" s="2"/>
    </row>
    <row r="20" spans="1:10" x14ac:dyDescent="0.3">
      <c r="A20" s="7" t="s">
        <v>20</v>
      </c>
      <c r="B20" s="7">
        <v>25</v>
      </c>
      <c r="C20" s="21">
        <v>1.8656716417910446E-2</v>
      </c>
      <c r="D20" s="7">
        <v>0</v>
      </c>
      <c r="E20" s="21">
        <v>0</v>
      </c>
      <c r="F20" s="23">
        <v>2700</v>
      </c>
      <c r="G20" s="7">
        <v>0</v>
      </c>
      <c r="H20" s="21">
        <v>9.2592592592592587E-3</v>
      </c>
      <c r="I20" s="22">
        <v>25</v>
      </c>
      <c r="J20" s="2"/>
    </row>
    <row r="21" spans="1:10" x14ac:dyDescent="0.3">
      <c r="A21" s="7" t="s">
        <v>21</v>
      </c>
      <c r="B21" s="7">
        <v>33</v>
      </c>
      <c r="C21" s="21">
        <v>2.4626865671641792E-2</v>
      </c>
      <c r="D21" s="7">
        <v>0</v>
      </c>
      <c r="E21" s="21">
        <v>0</v>
      </c>
      <c r="F21" s="7"/>
      <c r="G21" s="7"/>
      <c r="H21" s="7"/>
      <c r="I21" s="22">
        <v>33</v>
      </c>
      <c r="J21" s="2"/>
    </row>
    <row r="22" spans="1:10" x14ac:dyDescent="0.3">
      <c r="A22" s="7" t="s">
        <v>22</v>
      </c>
      <c r="B22" s="23">
        <v>1340</v>
      </c>
      <c r="D22" s="7">
        <v>670</v>
      </c>
      <c r="F22" s="23">
        <v>5081</v>
      </c>
    </row>
    <row r="23" spans="1:10" x14ac:dyDescent="0.3">
      <c r="A23" s="1" t="s">
        <v>27</v>
      </c>
    </row>
    <row r="24" spans="1:10" x14ac:dyDescent="0.3">
      <c r="A24" s="1" t="s">
        <v>35</v>
      </c>
      <c r="B24" s="1">
        <v>320</v>
      </c>
      <c r="C24" s="2">
        <f>B24/B22</f>
        <v>0.23880597014925373</v>
      </c>
      <c r="F24" s="3">
        <v>2381</v>
      </c>
    </row>
    <row r="25" spans="1:10" x14ac:dyDescent="0.3">
      <c r="A25" s="1" t="s">
        <v>91</v>
      </c>
      <c r="B25" s="4">
        <f>B24/F24</f>
        <v>0.13439731205375893</v>
      </c>
    </row>
    <row r="26" spans="1:10" x14ac:dyDescent="0.3">
      <c r="A26" s="1" t="s">
        <v>36</v>
      </c>
      <c r="B26" s="4">
        <v>1.7999999999999999E-2</v>
      </c>
    </row>
    <row r="29" spans="1:10" x14ac:dyDescent="0.3">
      <c r="A29" s="1" t="s">
        <v>23</v>
      </c>
      <c r="B29" s="1" t="s">
        <v>26</v>
      </c>
    </row>
    <row r="30" spans="1:10" x14ac:dyDescent="0.3">
      <c r="A30" s="1" t="s">
        <v>24</v>
      </c>
      <c r="B30" s="1" t="s">
        <v>32</v>
      </c>
    </row>
    <row r="31" spans="1:10" x14ac:dyDescent="0.3">
      <c r="A31" s="1" t="s">
        <v>25</v>
      </c>
      <c r="B31" s="1" t="s">
        <v>34</v>
      </c>
    </row>
    <row r="32" spans="1:10" x14ac:dyDescent="0.3">
      <c r="A32" s="1" t="s">
        <v>29</v>
      </c>
      <c r="B32" s="1" t="s">
        <v>92</v>
      </c>
    </row>
    <row r="33" spans="1:2" x14ac:dyDescent="0.3">
      <c r="A33" s="1" t="s">
        <v>30</v>
      </c>
      <c r="B33" s="1" t="s">
        <v>33</v>
      </c>
    </row>
  </sheetData>
  <mergeCells count="5">
    <mergeCell ref="B1:C1"/>
    <mergeCell ref="D1:E1"/>
    <mergeCell ref="F1:G1"/>
    <mergeCell ref="H1:H2"/>
    <mergeCell ref="A1: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0439B-F023-46A6-8E56-A5B11369EC19}">
  <sheetPr>
    <tabColor rgb="FF0070C0"/>
  </sheetPr>
  <dimension ref="A1:I27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4" x14ac:dyDescent="0.3"/>
  <cols>
    <col min="1" max="1" width="57" style="1" customWidth="1"/>
    <col min="2" max="9" width="11.36328125" style="1" customWidth="1"/>
    <col min="10" max="16384" width="8.7265625" style="1"/>
  </cols>
  <sheetData>
    <row r="1" spans="1:9" x14ac:dyDescent="0.3">
      <c r="A1" s="8" t="s">
        <v>0</v>
      </c>
      <c r="B1" s="10" t="s">
        <v>41</v>
      </c>
      <c r="C1" s="11"/>
      <c r="D1" s="10" t="s">
        <v>44</v>
      </c>
      <c r="E1" s="11"/>
      <c r="F1" s="10" t="s">
        <v>42</v>
      </c>
      <c r="G1" s="11"/>
      <c r="H1" s="10" t="s">
        <v>43</v>
      </c>
      <c r="I1" s="11"/>
    </row>
    <row r="2" spans="1:9" ht="24" customHeight="1" x14ac:dyDescent="0.3">
      <c r="A2" s="9"/>
      <c r="B2" s="7" t="s">
        <v>38</v>
      </c>
      <c r="C2" s="7" t="s">
        <v>37</v>
      </c>
      <c r="D2" s="7" t="s">
        <v>39</v>
      </c>
      <c r="E2" s="7" t="s">
        <v>37</v>
      </c>
      <c r="F2" s="7" t="s">
        <v>38</v>
      </c>
      <c r="G2" s="7" t="s">
        <v>37</v>
      </c>
      <c r="H2" s="7" t="s">
        <v>38</v>
      </c>
      <c r="I2" s="7" t="s">
        <v>37</v>
      </c>
    </row>
    <row r="3" spans="1:9" x14ac:dyDescent="0.3">
      <c r="A3" s="7" t="s">
        <v>3</v>
      </c>
      <c r="B3" s="7">
        <v>51</v>
      </c>
      <c r="C3" s="15">
        <v>154968</v>
      </c>
      <c r="D3" s="7">
        <v>31</v>
      </c>
      <c r="E3" s="15">
        <v>40034</v>
      </c>
      <c r="F3" s="7">
        <v>51</v>
      </c>
      <c r="G3" s="7">
        <v>5</v>
      </c>
      <c r="H3" s="7">
        <v>51</v>
      </c>
      <c r="I3" s="7">
        <v>12</v>
      </c>
    </row>
    <row r="4" spans="1:9" x14ac:dyDescent="0.3">
      <c r="A4" s="7" t="s">
        <v>4</v>
      </c>
      <c r="B4" s="7">
        <v>171</v>
      </c>
      <c r="C4" s="15">
        <v>100000</v>
      </c>
      <c r="D4" s="7">
        <v>56</v>
      </c>
      <c r="E4" s="15">
        <v>20046.5</v>
      </c>
      <c r="F4" s="7">
        <v>191</v>
      </c>
      <c r="G4" s="7">
        <v>5</v>
      </c>
      <c r="H4" s="7">
        <v>192</v>
      </c>
      <c r="I4" s="7">
        <v>8</v>
      </c>
    </row>
    <row r="5" spans="1:9" x14ac:dyDescent="0.3">
      <c r="A5" s="7" t="s">
        <v>45</v>
      </c>
      <c r="B5" s="12">
        <v>90</v>
      </c>
      <c r="C5" s="16">
        <v>156000</v>
      </c>
      <c r="D5" s="7">
        <v>35</v>
      </c>
      <c r="E5" s="15">
        <v>30801</v>
      </c>
      <c r="F5" s="12">
        <v>413</v>
      </c>
      <c r="G5" s="12">
        <v>1</v>
      </c>
      <c r="H5" s="12">
        <v>413</v>
      </c>
      <c r="I5" s="12">
        <v>14.4</v>
      </c>
    </row>
    <row r="6" spans="1:9" x14ac:dyDescent="0.3">
      <c r="A6" s="7" t="s">
        <v>6</v>
      </c>
      <c r="B6" s="7">
        <v>237</v>
      </c>
      <c r="C6" s="15">
        <v>110000</v>
      </c>
      <c r="D6" s="7">
        <v>152</v>
      </c>
      <c r="E6" s="15">
        <v>107421</v>
      </c>
      <c r="F6" s="7">
        <v>252</v>
      </c>
      <c r="G6" s="7">
        <v>5</v>
      </c>
      <c r="H6" s="7">
        <v>248</v>
      </c>
      <c r="I6" s="7">
        <v>19</v>
      </c>
    </row>
    <row r="7" spans="1:9" x14ac:dyDescent="0.3">
      <c r="A7" s="7" t="s">
        <v>7</v>
      </c>
      <c r="B7" s="7">
        <v>12</v>
      </c>
      <c r="C7" s="15">
        <v>93799</v>
      </c>
      <c r="D7" s="7">
        <v>21</v>
      </c>
      <c r="E7" s="15">
        <v>24801</v>
      </c>
      <c r="F7" s="7">
        <v>13</v>
      </c>
      <c r="G7" s="7">
        <v>19</v>
      </c>
      <c r="H7" s="7">
        <v>13</v>
      </c>
      <c r="I7" s="7">
        <v>10</v>
      </c>
    </row>
    <row r="8" spans="1:9" x14ac:dyDescent="0.3">
      <c r="A8" s="7" t="s">
        <v>48</v>
      </c>
      <c r="B8" s="13">
        <v>8</v>
      </c>
      <c r="C8" s="17">
        <v>11200</v>
      </c>
      <c r="D8" s="7"/>
      <c r="E8" s="7"/>
      <c r="F8" s="13">
        <v>9</v>
      </c>
      <c r="G8" s="13">
        <v>1</v>
      </c>
      <c r="H8" s="13">
        <v>9</v>
      </c>
      <c r="I8" s="13">
        <v>6</v>
      </c>
    </row>
    <row r="9" spans="1:9" x14ac:dyDescent="0.3">
      <c r="A9" s="7" t="s">
        <v>9</v>
      </c>
      <c r="B9" s="7">
        <v>13</v>
      </c>
      <c r="C9" s="15">
        <v>80000</v>
      </c>
      <c r="D9" s="7"/>
      <c r="E9" s="7"/>
      <c r="F9" s="7">
        <v>13</v>
      </c>
      <c r="G9" s="7">
        <v>4</v>
      </c>
      <c r="H9" s="7">
        <v>14</v>
      </c>
      <c r="I9" s="7">
        <v>9</v>
      </c>
    </row>
    <row r="10" spans="1:9" x14ac:dyDescent="0.3">
      <c r="A10" s="7" t="s">
        <v>46</v>
      </c>
      <c r="B10" s="12">
        <v>17</v>
      </c>
      <c r="C10" s="16">
        <v>116000</v>
      </c>
      <c r="D10" s="7"/>
      <c r="E10" s="7"/>
      <c r="F10" s="12">
        <v>323</v>
      </c>
      <c r="G10" s="12">
        <v>1.3</v>
      </c>
      <c r="H10" s="12">
        <v>323</v>
      </c>
      <c r="I10" s="12">
        <v>5.8</v>
      </c>
    </row>
    <row r="11" spans="1:9" x14ac:dyDescent="0.3">
      <c r="A11" s="7" t="s">
        <v>11</v>
      </c>
      <c r="B11" s="7">
        <v>34</v>
      </c>
      <c r="C11" s="15">
        <v>62500</v>
      </c>
      <c r="D11" s="7">
        <v>23</v>
      </c>
      <c r="E11" s="15">
        <v>13955</v>
      </c>
      <c r="F11" s="7">
        <v>35</v>
      </c>
      <c r="G11" s="7">
        <v>3</v>
      </c>
      <c r="H11" s="7">
        <v>35</v>
      </c>
      <c r="I11" s="7">
        <v>15</v>
      </c>
    </row>
    <row r="12" spans="1:9" x14ac:dyDescent="0.3">
      <c r="A12" s="7" t="s">
        <v>49</v>
      </c>
      <c r="B12" s="13">
        <v>9</v>
      </c>
      <c r="C12" s="17">
        <v>122683</v>
      </c>
      <c r="D12" s="7"/>
      <c r="E12" s="7"/>
      <c r="F12" s="7">
        <v>10</v>
      </c>
      <c r="G12" s="7">
        <v>3.5</v>
      </c>
      <c r="H12" s="13">
        <v>9</v>
      </c>
      <c r="I12" s="13">
        <v>8</v>
      </c>
    </row>
    <row r="13" spans="1:9" x14ac:dyDescent="0.3">
      <c r="A13" s="7" t="s">
        <v>13</v>
      </c>
      <c r="B13" s="7">
        <v>30</v>
      </c>
      <c r="C13" s="15">
        <v>61261</v>
      </c>
      <c r="D13" s="7">
        <v>25</v>
      </c>
      <c r="E13" s="15">
        <v>25158</v>
      </c>
      <c r="F13" s="7">
        <v>30</v>
      </c>
      <c r="G13" s="7">
        <v>3</v>
      </c>
      <c r="H13" s="7">
        <v>31</v>
      </c>
      <c r="I13" s="7">
        <v>20</v>
      </c>
    </row>
    <row r="14" spans="1:9" x14ac:dyDescent="0.3">
      <c r="A14" s="7" t="s">
        <v>14</v>
      </c>
      <c r="B14" s="7">
        <v>87</v>
      </c>
      <c r="C14" s="15">
        <v>200000</v>
      </c>
      <c r="D14" s="7">
        <v>46</v>
      </c>
      <c r="E14" s="15">
        <v>23956.5</v>
      </c>
      <c r="F14" s="7">
        <v>93</v>
      </c>
      <c r="G14" s="7">
        <v>9</v>
      </c>
      <c r="H14" s="7">
        <v>93</v>
      </c>
      <c r="I14" s="7">
        <v>13</v>
      </c>
    </row>
    <row r="15" spans="1:9" x14ac:dyDescent="0.3">
      <c r="A15" s="7" t="s">
        <v>15</v>
      </c>
      <c r="B15" s="7">
        <v>31</v>
      </c>
      <c r="C15" s="15">
        <v>39750</v>
      </c>
      <c r="D15" s="7">
        <v>11</v>
      </c>
      <c r="E15" s="15">
        <v>536977</v>
      </c>
      <c r="F15" s="7">
        <v>33</v>
      </c>
      <c r="G15" s="7">
        <v>1</v>
      </c>
      <c r="H15" s="7">
        <v>32</v>
      </c>
      <c r="I15" s="7">
        <v>8</v>
      </c>
    </row>
    <row r="16" spans="1:9" x14ac:dyDescent="0.3">
      <c r="A16" s="7" t="s">
        <v>50</v>
      </c>
      <c r="B16" s="13">
        <v>2</v>
      </c>
      <c r="C16" s="17">
        <v>35000</v>
      </c>
      <c r="D16" s="7">
        <v>0</v>
      </c>
      <c r="E16" s="7"/>
      <c r="F16" s="13">
        <v>3</v>
      </c>
      <c r="G16" s="13">
        <v>2</v>
      </c>
      <c r="H16" s="13">
        <v>3</v>
      </c>
      <c r="I16" s="13">
        <v>25</v>
      </c>
    </row>
    <row r="17" spans="1:9" x14ac:dyDescent="0.3">
      <c r="A17" s="7" t="s">
        <v>17</v>
      </c>
      <c r="B17" s="7">
        <v>41</v>
      </c>
      <c r="C17" s="15">
        <v>46290</v>
      </c>
      <c r="D17" s="7">
        <v>21</v>
      </c>
      <c r="E17" s="15">
        <v>362584</v>
      </c>
      <c r="F17" s="7">
        <v>42</v>
      </c>
      <c r="G17" s="7">
        <v>6.5</v>
      </c>
      <c r="H17" s="7">
        <v>44</v>
      </c>
      <c r="I17" s="7">
        <v>12</v>
      </c>
    </row>
    <row r="18" spans="1:9" x14ac:dyDescent="0.3">
      <c r="A18" s="7" t="s">
        <v>18</v>
      </c>
      <c r="B18" s="7">
        <v>54</v>
      </c>
      <c r="C18" s="15">
        <v>77500</v>
      </c>
      <c r="D18" s="7">
        <v>45</v>
      </c>
      <c r="E18" s="15">
        <v>184477</v>
      </c>
      <c r="F18" s="7">
        <v>62</v>
      </c>
      <c r="G18" s="7">
        <v>2</v>
      </c>
      <c r="H18" s="7">
        <v>62</v>
      </c>
      <c r="I18" s="7">
        <v>15</v>
      </c>
    </row>
    <row r="19" spans="1:9" x14ac:dyDescent="0.3">
      <c r="A19" s="7" t="s">
        <v>19</v>
      </c>
      <c r="B19" s="7">
        <v>12</v>
      </c>
      <c r="C19" s="15">
        <v>300646.5</v>
      </c>
      <c r="D19" s="7"/>
      <c r="E19" s="7"/>
      <c r="F19" s="7">
        <v>14</v>
      </c>
      <c r="G19" s="7">
        <v>6</v>
      </c>
      <c r="H19" s="7">
        <v>14</v>
      </c>
      <c r="I19" s="7">
        <v>14</v>
      </c>
    </row>
    <row r="20" spans="1:9" x14ac:dyDescent="0.3">
      <c r="A20" s="7" t="s">
        <v>47</v>
      </c>
      <c r="B20" s="12">
        <v>12</v>
      </c>
      <c r="C20" s="16">
        <v>17500</v>
      </c>
      <c r="D20" s="7">
        <v>0</v>
      </c>
      <c r="E20" s="7"/>
      <c r="F20" s="12">
        <v>2700</v>
      </c>
      <c r="G20" s="12">
        <v>2</v>
      </c>
      <c r="H20" s="12">
        <v>2700</v>
      </c>
      <c r="I20" s="12">
        <v>4</v>
      </c>
    </row>
    <row r="21" spans="1:9" x14ac:dyDescent="0.3">
      <c r="A21" s="7" t="s">
        <v>21</v>
      </c>
      <c r="B21" s="7">
        <v>15</v>
      </c>
      <c r="C21" s="15">
        <v>40000</v>
      </c>
      <c r="D21" s="7">
        <v>0</v>
      </c>
      <c r="E21" s="7"/>
      <c r="F21" s="7">
        <v>18</v>
      </c>
      <c r="G21" s="7">
        <v>1.5</v>
      </c>
      <c r="H21" s="7">
        <v>17</v>
      </c>
      <c r="I21" s="7">
        <v>15</v>
      </c>
    </row>
    <row r="22" spans="1:9" x14ac:dyDescent="0.3">
      <c r="A22" s="7" t="s">
        <v>22</v>
      </c>
      <c r="B22" s="7">
        <v>926</v>
      </c>
      <c r="D22" s="7">
        <v>466</v>
      </c>
      <c r="F22" s="7">
        <v>998</v>
      </c>
      <c r="G22" s="7">
        <v>4</v>
      </c>
      <c r="H22" s="7">
        <v>997</v>
      </c>
      <c r="I22" s="7">
        <v>14</v>
      </c>
    </row>
    <row r="24" spans="1:9" x14ac:dyDescent="0.3">
      <c r="A24" s="1" t="s">
        <v>53</v>
      </c>
    </row>
    <row r="25" spans="1:9" x14ac:dyDescent="0.3">
      <c r="A25" s="1" t="s">
        <v>54</v>
      </c>
    </row>
    <row r="26" spans="1:9" x14ac:dyDescent="0.3">
      <c r="A26" s="5" t="s">
        <v>51</v>
      </c>
    </row>
    <row r="27" spans="1:9" x14ac:dyDescent="0.3">
      <c r="A27" s="6" t="s">
        <v>52</v>
      </c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435F7-5044-4C0A-AEDE-3BE9E9FEADA4}">
  <sheetPr>
    <tabColor rgb="FFC00000"/>
  </sheetPr>
  <dimension ref="A1:K59"/>
  <sheetViews>
    <sheetView zoomScale="90" zoomScaleNormal="90" workbookViewId="0">
      <pane ySplit="8" topLeftCell="A9" activePane="bottomLeft" state="frozen"/>
      <selection pane="bottomLeft" sqref="A1:F2"/>
    </sheetView>
  </sheetViews>
  <sheetFormatPr defaultRowHeight="14" x14ac:dyDescent="0.3"/>
  <cols>
    <col min="1" max="1" width="50.90625" style="1" bestFit="1" customWidth="1"/>
    <col min="2" max="11" width="12.26953125" style="1" customWidth="1"/>
    <col min="12" max="16384" width="8.7265625" style="1"/>
  </cols>
  <sheetData>
    <row r="1" spans="1:11" ht="15" customHeight="1" x14ac:dyDescent="0.3">
      <c r="A1" s="32" t="s">
        <v>73</v>
      </c>
      <c r="B1" s="32"/>
      <c r="C1" s="32"/>
      <c r="D1" s="32"/>
      <c r="E1" s="32"/>
      <c r="F1" s="32"/>
      <c r="G1" s="31" t="s">
        <v>64</v>
      </c>
      <c r="H1" s="27"/>
      <c r="I1" s="27"/>
      <c r="J1" s="28" t="s">
        <v>60</v>
      </c>
      <c r="K1" s="29">
        <f>K2-'Sector volume'!B26</f>
        <v>0.11639731205375893</v>
      </c>
    </row>
    <row r="2" spans="1:11" ht="15" customHeight="1" x14ac:dyDescent="0.3">
      <c r="A2" s="32"/>
      <c r="B2" s="32"/>
      <c r="C2" s="32"/>
      <c r="D2" s="32"/>
      <c r="E2" s="32"/>
      <c r="F2" s="32"/>
      <c r="G2" s="31"/>
      <c r="H2" s="27"/>
      <c r="I2" s="27"/>
      <c r="J2" s="28" t="s">
        <v>61</v>
      </c>
      <c r="K2" s="30">
        <f>'Sector volume'!B25</f>
        <v>0.13439731205375893</v>
      </c>
    </row>
    <row r="3" spans="1:11" ht="15" customHeight="1" x14ac:dyDescent="0.3">
      <c r="A3" s="32" t="s">
        <v>70</v>
      </c>
      <c r="B3" s="32"/>
      <c r="C3" s="32"/>
      <c r="D3" s="32"/>
      <c r="E3" s="32"/>
      <c r="F3" s="32"/>
      <c r="G3" s="31"/>
      <c r="H3" s="27"/>
      <c r="I3" s="27"/>
      <c r="J3" s="28" t="s">
        <v>62</v>
      </c>
      <c r="K3" s="29">
        <f>K2+'Sector volume'!B26</f>
        <v>0.15239731205375892</v>
      </c>
    </row>
    <row r="4" spans="1:11" ht="15" customHeight="1" thickBot="1" x14ac:dyDescent="0.35">
      <c r="A4" s="32"/>
      <c r="B4" s="32"/>
      <c r="C4" s="32"/>
      <c r="D4" s="32"/>
      <c r="E4" s="32"/>
      <c r="F4" s="32"/>
      <c r="G4" s="24"/>
      <c r="H4" s="24"/>
      <c r="I4" s="24"/>
      <c r="J4" s="24"/>
      <c r="K4" s="26" t="s">
        <v>65</v>
      </c>
    </row>
    <row r="5" spans="1:11" ht="15" customHeight="1" thickBot="1" x14ac:dyDescent="0.35">
      <c r="A5" s="32" t="s">
        <v>71</v>
      </c>
      <c r="B5" s="32"/>
      <c r="C5" s="32"/>
      <c r="D5" s="32"/>
      <c r="E5" s="32"/>
      <c r="F5" s="32"/>
      <c r="G5" s="5" t="s">
        <v>76</v>
      </c>
      <c r="H5" s="5"/>
      <c r="I5" s="5"/>
      <c r="J5" s="5"/>
      <c r="K5" s="25">
        <v>0.13439731205375893</v>
      </c>
    </row>
    <row r="6" spans="1:11" ht="15" customHeight="1" x14ac:dyDescent="0.3">
      <c r="A6" s="32"/>
      <c r="B6" s="32"/>
      <c r="C6" s="32"/>
      <c r="D6" s="32"/>
      <c r="E6" s="32"/>
      <c r="F6" s="32"/>
    </row>
    <row r="7" spans="1:11" ht="15" customHeight="1" x14ac:dyDescent="0.3">
      <c r="A7" s="32" t="s">
        <v>72</v>
      </c>
      <c r="B7" s="32"/>
      <c r="C7" s="32"/>
      <c r="D7" s="32"/>
      <c r="E7" s="32"/>
      <c r="F7" s="32"/>
    </row>
    <row r="8" spans="1:11" ht="15" customHeight="1" x14ac:dyDescent="0.3">
      <c r="A8" s="32"/>
      <c r="B8" s="32"/>
      <c r="C8" s="32"/>
      <c r="D8" s="32"/>
      <c r="E8" s="32"/>
      <c r="F8" s="32"/>
    </row>
    <row r="9" spans="1:11" ht="11" customHeight="1" x14ac:dyDescent="0.3">
      <c r="H9" s="41" t="s">
        <v>74</v>
      </c>
      <c r="I9" s="41"/>
      <c r="J9" s="41"/>
      <c r="K9" s="41"/>
    </row>
    <row r="10" spans="1:11" ht="11" customHeight="1" x14ac:dyDescent="0.3">
      <c r="H10" s="42"/>
      <c r="I10" s="42"/>
      <c r="J10" s="42"/>
      <c r="K10" s="42"/>
    </row>
    <row r="11" spans="1:11" x14ac:dyDescent="0.3">
      <c r="A11" s="36" t="s">
        <v>0</v>
      </c>
      <c r="B11" s="38" t="s">
        <v>66</v>
      </c>
      <c r="C11" s="39"/>
      <c r="D11" s="40"/>
      <c r="E11" s="38" t="s">
        <v>67</v>
      </c>
      <c r="F11" s="40"/>
      <c r="G11" s="38" t="s">
        <v>68</v>
      </c>
      <c r="H11" s="40"/>
      <c r="I11" s="38" t="s">
        <v>69</v>
      </c>
      <c r="J11" s="39"/>
      <c r="K11" s="40"/>
    </row>
    <row r="12" spans="1:11" x14ac:dyDescent="0.3">
      <c r="A12" s="37"/>
      <c r="B12" s="33" t="s">
        <v>55</v>
      </c>
      <c r="C12" s="33" t="s">
        <v>56</v>
      </c>
      <c r="D12" s="33" t="s">
        <v>63</v>
      </c>
      <c r="E12" s="33" t="s">
        <v>57</v>
      </c>
      <c r="F12" s="33" t="s">
        <v>37</v>
      </c>
      <c r="G12" s="33" t="s">
        <v>57</v>
      </c>
      <c r="H12" s="33" t="s">
        <v>37</v>
      </c>
      <c r="I12" s="33" t="s">
        <v>58</v>
      </c>
      <c r="J12" s="33" t="s">
        <v>40</v>
      </c>
      <c r="K12" s="33" t="s">
        <v>59</v>
      </c>
    </row>
    <row r="13" spans="1:11" x14ac:dyDescent="0.3">
      <c r="A13" s="7" t="s">
        <v>3</v>
      </c>
      <c r="B13" s="23">
        <f>'Sector volume'!I3/'Estimation model'!$K$5</f>
        <v>379.47187499999995</v>
      </c>
      <c r="C13" s="34">
        <f>B13/B$32</f>
        <v>3.4649734671905984E-2</v>
      </c>
      <c r="D13" s="34">
        <f>B13/B$33</f>
        <v>4.5987376014427414E-2</v>
      </c>
      <c r="E13" s="14">
        <f>(F13*B13)/1000000</f>
        <v>58.805997524999988</v>
      </c>
      <c r="F13" s="15">
        <f>'Financial and staffing data'!C3</f>
        <v>154968</v>
      </c>
      <c r="G13" s="14">
        <f>(H13*$B13)/1000000</f>
        <v>15.191777043749997</v>
      </c>
      <c r="H13" s="15">
        <f>'Financial and staffing data'!E3</f>
        <v>40034</v>
      </c>
      <c r="I13" s="23">
        <f>'Financial and staffing data'!G3*'Estimation model'!$B13</f>
        <v>1897.3593749999998</v>
      </c>
      <c r="J13" s="23">
        <f>'Financial and staffing data'!I3*'Estimation model'!$B13</f>
        <v>4553.6624999999995</v>
      </c>
      <c r="K13" s="35">
        <f>J13/I13</f>
        <v>2.4</v>
      </c>
    </row>
    <row r="14" spans="1:11" x14ac:dyDescent="0.3">
      <c r="A14" s="7" t="s">
        <v>4</v>
      </c>
      <c r="B14" s="23">
        <f>'Sector volume'!I4/'Estimation model'!$K$5</f>
        <v>1220.2624999999998</v>
      </c>
      <c r="C14" s="34">
        <f t="shared" ref="C14:C31" si="0">B14/B$32</f>
        <v>0.11142267619985452</v>
      </c>
      <c r="D14" s="34">
        <f t="shared" ref="D14:D31" si="1">B14/B$33</f>
        <v>0.14788097385031559</v>
      </c>
      <c r="E14" s="14">
        <f t="shared" ref="E14:E31" si="2">(F14*B14)/1000000</f>
        <v>122.02624999999999</v>
      </c>
      <c r="F14" s="15">
        <f>'Financial and staffing data'!C4</f>
        <v>100000</v>
      </c>
      <c r="G14" s="14">
        <f t="shared" ref="G14:G17" si="3">(H14*$B14)/1000000</f>
        <v>24.461992206249995</v>
      </c>
      <c r="H14" s="15">
        <f>'Financial and staffing data'!E4</f>
        <v>20046.5</v>
      </c>
      <c r="I14" s="23">
        <f>'Financial and staffing data'!G4*'Estimation model'!$B14</f>
        <v>6101.3124999999991</v>
      </c>
      <c r="J14" s="23">
        <f>'Financial and staffing data'!I4*'Estimation model'!$B14</f>
        <v>9762.0999999999985</v>
      </c>
      <c r="K14" s="35">
        <f t="shared" ref="K14:K32" si="4">J14/I14</f>
        <v>1.6</v>
      </c>
    </row>
    <row r="15" spans="1:11" x14ac:dyDescent="0.3">
      <c r="A15" s="7" t="s">
        <v>5</v>
      </c>
      <c r="B15" s="23">
        <f>'Sector volume'!F5</f>
        <v>413</v>
      </c>
      <c r="C15" s="34">
        <f t="shared" si="0"/>
        <v>3.7711201704993744E-2</v>
      </c>
      <c r="D15" s="34">
        <f t="shared" si="1"/>
        <v>5.0050576986656846E-2</v>
      </c>
      <c r="E15" s="14">
        <f t="shared" si="2"/>
        <v>64.427999999999997</v>
      </c>
      <c r="F15" s="15">
        <f>'Financial and staffing data'!C5</f>
        <v>156000</v>
      </c>
      <c r="G15" s="14">
        <f t="shared" si="3"/>
        <v>12.720813</v>
      </c>
      <c r="H15" s="15">
        <f>'Financial and staffing data'!E5</f>
        <v>30801</v>
      </c>
      <c r="I15" s="23">
        <f>'Financial and staffing data'!G5*'Estimation model'!$B15</f>
        <v>413</v>
      </c>
      <c r="J15" s="23">
        <f>'Financial and staffing data'!I5*'Estimation model'!$B15</f>
        <v>5947.2</v>
      </c>
      <c r="K15" s="35">
        <f t="shared" si="4"/>
        <v>14.4</v>
      </c>
    </row>
    <row r="16" spans="1:11" x14ac:dyDescent="0.3">
      <c r="A16" s="7" t="s">
        <v>6</v>
      </c>
      <c r="B16" s="23">
        <f>'Sector volume'!I6/'Estimation model'!$K$5</f>
        <v>2131.7390624999998</v>
      </c>
      <c r="C16" s="34">
        <f t="shared" si="0"/>
        <v>0.19464998006864831</v>
      </c>
      <c r="D16" s="34">
        <f t="shared" si="1"/>
        <v>0.25834084761045989</v>
      </c>
      <c r="E16" s="14">
        <f t="shared" si="2"/>
        <v>234.49129687499996</v>
      </c>
      <c r="F16" s="15">
        <f>'Financial and staffing data'!C6</f>
        <v>110000</v>
      </c>
      <c r="G16" s="14">
        <f t="shared" si="3"/>
        <v>228.9935418328125</v>
      </c>
      <c r="H16" s="15">
        <f>'Financial and staffing data'!E6</f>
        <v>107421</v>
      </c>
      <c r="I16" s="23">
        <f>'Financial and staffing data'!G6*'Estimation model'!$B16</f>
        <v>10658.6953125</v>
      </c>
      <c r="J16" s="23">
        <f>'Financial and staffing data'!I6*'Estimation model'!$B16</f>
        <v>40503.042187499996</v>
      </c>
      <c r="K16" s="35">
        <f t="shared" si="4"/>
        <v>3.7999999999999994</v>
      </c>
    </row>
    <row r="17" spans="1:11" x14ac:dyDescent="0.3">
      <c r="A17" s="7" t="s">
        <v>7</v>
      </c>
      <c r="B17" s="23">
        <f>'Sector volume'!I7/'Estimation model'!$K$5</f>
        <v>159.97343749999999</v>
      </c>
      <c r="C17" s="34">
        <f t="shared" si="0"/>
        <v>1.4607241087176051E-2</v>
      </c>
      <c r="D17" s="34">
        <f t="shared" si="1"/>
        <v>1.9386834986474304E-2</v>
      </c>
      <c r="E17" s="14">
        <f t="shared" si="2"/>
        <v>15.005348464062498</v>
      </c>
      <c r="F17" s="15">
        <f>'Financial and staffing data'!C7</f>
        <v>93799</v>
      </c>
      <c r="G17" s="14">
        <f t="shared" si="3"/>
        <v>3.9675012234374996</v>
      </c>
      <c r="H17" s="15">
        <f>'Financial and staffing data'!E7</f>
        <v>24801</v>
      </c>
      <c r="I17" s="23">
        <f>'Financial and staffing data'!G7*'Estimation model'!$B17</f>
        <v>3039.4953124999997</v>
      </c>
      <c r="J17" s="23">
        <f>'Financial and staffing data'!I7*'Estimation model'!$B17</f>
        <v>1599.734375</v>
      </c>
      <c r="K17" s="35">
        <f t="shared" si="4"/>
        <v>0.52631578947368429</v>
      </c>
    </row>
    <row r="18" spans="1:11" x14ac:dyDescent="0.3">
      <c r="A18" s="7" t="s">
        <v>8</v>
      </c>
      <c r="B18" s="23">
        <f>'Sector volume'!I8/'Estimation model'!$K$5</f>
        <v>93.0078125</v>
      </c>
      <c r="C18" s="34">
        <f t="shared" si="0"/>
        <v>8.4925820274279369E-3</v>
      </c>
      <c r="D18" s="34">
        <f t="shared" si="1"/>
        <v>1.1271415689810643E-2</v>
      </c>
      <c r="E18" s="14">
        <f t="shared" si="2"/>
        <v>1.0416875000000001</v>
      </c>
      <c r="F18" s="15">
        <f>'Financial and staffing data'!C8</f>
        <v>11200</v>
      </c>
      <c r="G18" s="14"/>
      <c r="H18" s="15"/>
      <c r="I18" s="23">
        <f>'Financial and staffing data'!G8*'Estimation model'!$B18</f>
        <v>93.0078125</v>
      </c>
      <c r="J18" s="23">
        <f>'Financial and staffing data'!I8*'Estimation model'!$B18</f>
        <v>558.046875</v>
      </c>
      <c r="K18" s="35">
        <f t="shared" si="4"/>
        <v>6</v>
      </c>
    </row>
    <row r="19" spans="1:11" x14ac:dyDescent="0.3">
      <c r="A19" s="7" t="s">
        <v>9</v>
      </c>
      <c r="B19" s="23">
        <f>'Sector volume'!I9/'Estimation model'!$K$5</f>
        <v>93.0078125</v>
      </c>
      <c r="C19" s="34">
        <f t="shared" si="0"/>
        <v>8.4925820274279369E-3</v>
      </c>
      <c r="D19" s="34">
        <f t="shared" si="1"/>
        <v>1.1271415689810643E-2</v>
      </c>
      <c r="E19" s="14">
        <f t="shared" si="2"/>
        <v>7.4406249999999998</v>
      </c>
      <c r="F19" s="15">
        <f>'Financial and staffing data'!C9</f>
        <v>80000</v>
      </c>
      <c r="G19" s="14"/>
      <c r="H19" s="15"/>
      <c r="I19" s="23">
        <f>'Financial and staffing data'!G9*'Estimation model'!$B19</f>
        <v>372.03125</v>
      </c>
      <c r="J19" s="23">
        <f>'Financial and staffing data'!I9*'Estimation model'!$B19</f>
        <v>837.0703125</v>
      </c>
      <c r="K19" s="35">
        <f t="shared" si="4"/>
        <v>2.25</v>
      </c>
    </row>
    <row r="20" spans="1:11" x14ac:dyDescent="0.3">
      <c r="A20" s="7" t="s">
        <v>10</v>
      </c>
      <c r="B20" s="23">
        <f>'Sector volume'!F10</f>
        <v>323</v>
      </c>
      <c r="C20" s="34">
        <f t="shared" si="0"/>
        <v>2.9493264287440625E-2</v>
      </c>
      <c r="D20" s="34">
        <f t="shared" si="1"/>
        <v>3.914367159004882E-2</v>
      </c>
      <c r="E20" s="14">
        <f t="shared" si="2"/>
        <v>37.468000000000004</v>
      </c>
      <c r="F20" s="15">
        <f>'Financial and staffing data'!C10</f>
        <v>116000</v>
      </c>
      <c r="G20" s="14"/>
      <c r="H20" s="15"/>
      <c r="I20" s="23">
        <f>'Financial and staffing data'!G10*'Estimation model'!$B20</f>
        <v>419.90000000000003</v>
      </c>
      <c r="J20" s="23">
        <f>'Financial and staffing data'!I10*'Estimation model'!$B20</f>
        <v>1873.3999999999999</v>
      </c>
      <c r="K20" s="35">
        <f t="shared" si="4"/>
        <v>4.4615384615384608</v>
      </c>
    </row>
    <row r="21" spans="1:11" x14ac:dyDescent="0.3">
      <c r="A21" s="7" t="s">
        <v>11</v>
      </c>
      <c r="B21" s="23">
        <f>'Sector volume'!I11/'Estimation model'!$K$5</f>
        <v>282.74374999999998</v>
      </c>
      <c r="C21" s="34">
        <f t="shared" si="0"/>
        <v>2.5817449363380929E-2</v>
      </c>
      <c r="D21" s="34">
        <f t="shared" si="1"/>
        <v>3.4265103697024346E-2</v>
      </c>
      <c r="E21" s="14">
        <f t="shared" si="2"/>
        <v>17.671484374999999</v>
      </c>
      <c r="F21" s="15">
        <f>'Financial and staffing data'!C11</f>
        <v>62500</v>
      </c>
      <c r="G21" s="14">
        <f t="shared" ref="G21" si="5">(H21*$B21)/1000000</f>
        <v>3.9456890312499997</v>
      </c>
      <c r="H21" s="15">
        <f>'Financial and staffing data'!E11</f>
        <v>13955</v>
      </c>
      <c r="I21" s="23">
        <f>'Financial and staffing data'!G11*'Estimation model'!$B21</f>
        <v>848.23124999999993</v>
      </c>
      <c r="J21" s="23">
        <f>'Financial and staffing data'!I11*'Estimation model'!$B21</f>
        <v>4241.15625</v>
      </c>
      <c r="K21" s="35">
        <f t="shared" si="4"/>
        <v>5</v>
      </c>
    </row>
    <row r="22" spans="1:11" x14ac:dyDescent="0.3">
      <c r="A22" s="7" t="s">
        <v>12</v>
      </c>
      <c r="B22" s="23">
        <f>'Sector volume'!I12/'Estimation model'!$K$5</f>
        <v>119.05</v>
      </c>
      <c r="C22" s="34">
        <f t="shared" si="0"/>
        <v>1.087050499510776E-2</v>
      </c>
      <c r="D22" s="34">
        <f t="shared" si="1"/>
        <v>1.4427412082957621E-2</v>
      </c>
      <c r="E22" s="14">
        <f t="shared" si="2"/>
        <v>14.60541115</v>
      </c>
      <c r="F22" s="15">
        <f>'Financial and staffing data'!C12</f>
        <v>122683</v>
      </c>
      <c r="G22" s="14"/>
      <c r="H22" s="15"/>
      <c r="I22" s="23">
        <f>'Financial and staffing data'!G12*'Estimation model'!$B22</f>
        <v>416.67500000000001</v>
      </c>
      <c r="J22" s="23">
        <f>'Financial and staffing data'!I12*'Estimation model'!$B22</f>
        <v>952.4</v>
      </c>
      <c r="K22" s="35">
        <f t="shared" si="4"/>
        <v>2.2857142857142856</v>
      </c>
    </row>
    <row r="23" spans="1:11" x14ac:dyDescent="0.3">
      <c r="A23" s="7" t="s">
        <v>13</v>
      </c>
      <c r="B23" s="23">
        <f>'Sector volume'!F13</f>
        <v>272</v>
      </c>
      <c r="C23" s="34">
        <f t="shared" si="0"/>
        <v>2.4836433084160527E-2</v>
      </c>
      <c r="D23" s="34">
        <f t="shared" si="1"/>
        <v>3.2963091865304266E-2</v>
      </c>
      <c r="E23" s="14">
        <f t="shared" si="2"/>
        <v>16.662991999999999</v>
      </c>
      <c r="F23" s="15">
        <f>'Financial and staffing data'!C13</f>
        <v>61261</v>
      </c>
      <c r="G23" s="14">
        <f t="shared" ref="G23:G28" si="6">(H23*$B23)/1000000</f>
        <v>6.8429760000000002</v>
      </c>
      <c r="H23" s="15">
        <f>'Financial and staffing data'!E13</f>
        <v>25158</v>
      </c>
      <c r="I23" s="23">
        <f>'Financial and staffing data'!G13*'Estimation model'!$B23</f>
        <v>816</v>
      </c>
      <c r="J23" s="23">
        <f>'Financial and staffing data'!I13*'Estimation model'!$B23</f>
        <v>5440</v>
      </c>
      <c r="K23" s="35">
        <f t="shared" si="4"/>
        <v>6.666666666666667</v>
      </c>
    </row>
    <row r="24" spans="1:11" x14ac:dyDescent="0.3">
      <c r="A24" s="7" t="s">
        <v>14</v>
      </c>
      <c r="B24" s="23">
        <f>'Sector volume'!I14/'Estimation model'!$K$5</f>
        <v>643.61406249999993</v>
      </c>
      <c r="C24" s="34">
        <f t="shared" si="0"/>
        <v>5.8768667629801326E-2</v>
      </c>
      <c r="D24" s="34">
        <f t="shared" si="1"/>
        <v>7.7998196573489637E-2</v>
      </c>
      <c r="E24" s="14">
        <f t="shared" si="2"/>
        <v>128.72281249999997</v>
      </c>
      <c r="F24" s="15">
        <f>'Financial and staffing data'!C14</f>
        <v>200000</v>
      </c>
      <c r="G24" s="14">
        <f t="shared" si="6"/>
        <v>15.418740288281249</v>
      </c>
      <c r="H24" s="15">
        <f>'Financial and staffing data'!E14</f>
        <v>23956.5</v>
      </c>
      <c r="I24" s="23">
        <f>'Financial and staffing data'!G14*'Estimation model'!$B24</f>
        <v>5792.5265624999993</v>
      </c>
      <c r="J24" s="23">
        <f>'Financial and staffing data'!I14*'Estimation model'!$B24</f>
        <v>8366.9828124999985</v>
      </c>
      <c r="K24" s="35">
        <f t="shared" si="4"/>
        <v>1.4444444444444444</v>
      </c>
    </row>
    <row r="25" spans="1:11" x14ac:dyDescent="0.3">
      <c r="A25" s="7" t="s">
        <v>15</v>
      </c>
      <c r="B25" s="23">
        <f>'Sector volume'!F15</f>
        <v>550</v>
      </c>
      <c r="C25" s="34">
        <f t="shared" si="0"/>
        <v>5.0220728662824593E-2</v>
      </c>
      <c r="D25" s="34">
        <f t="shared" si="1"/>
        <v>6.665331075704907E-2</v>
      </c>
      <c r="E25" s="14">
        <f t="shared" si="2"/>
        <v>21.862500000000001</v>
      </c>
      <c r="F25" s="15">
        <f>'Financial and staffing data'!C15</f>
        <v>39750</v>
      </c>
      <c r="G25" s="14">
        <f t="shared" si="6"/>
        <v>295.33735000000001</v>
      </c>
      <c r="H25" s="15">
        <f>'Financial and staffing data'!E15</f>
        <v>536977</v>
      </c>
      <c r="I25" s="23">
        <f>'Financial and staffing data'!G15*'Estimation model'!$B25</f>
        <v>550</v>
      </c>
      <c r="J25" s="23">
        <f>'Financial and staffing data'!I15*'Estimation model'!$B25</f>
        <v>4400</v>
      </c>
      <c r="K25" s="35">
        <f t="shared" si="4"/>
        <v>8</v>
      </c>
    </row>
    <row r="26" spans="1:11" x14ac:dyDescent="0.3">
      <c r="A26" s="7" t="s">
        <v>16</v>
      </c>
      <c r="B26" s="23">
        <f>'Sector volume'!F16</f>
        <v>350</v>
      </c>
      <c r="C26" s="34">
        <f t="shared" si="0"/>
        <v>3.1958645512706559E-2</v>
      </c>
      <c r="D26" s="34">
        <f t="shared" si="1"/>
        <v>4.2415743209031229E-2</v>
      </c>
      <c r="E26" s="14">
        <f t="shared" si="2"/>
        <v>12.25</v>
      </c>
      <c r="F26" s="15">
        <f>'Financial and staffing data'!C16</f>
        <v>35000</v>
      </c>
      <c r="G26" s="14"/>
      <c r="H26" s="15"/>
      <c r="I26" s="23">
        <f>'Financial and staffing data'!G16*'Estimation model'!$B26</f>
        <v>700</v>
      </c>
      <c r="J26" s="23">
        <f>'Financial and staffing data'!I16*'Estimation model'!$B26</f>
        <v>8750</v>
      </c>
      <c r="K26" s="35">
        <f t="shared" si="4"/>
        <v>12.5</v>
      </c>
    </row>
    <row r="27" spans="1:11" x14ac:dyDescent="0.3">
      <c r="A27" s="7" t="s">
        <v>17</v>
      </c>
      <c r="B27" s="23">
        <f>'Sector volume'!F17</f>
        <v>123</v>
      </c>
      <c r="C27" s="34">
        <f t="shared" si="0"/>
        <v>1.1231181137322591E-2</v>
      </c>
      <c r="D27" s="34">
        <f t="shared" si="1"/>
        <v>1.4906104042030974E-2</v>
      </c>
      <c r="E27" s="14">
        <f t="shared" si="2"/>
        <v>5.69367</v>
      </c>
      <c r="F27" s="15">
        <f>'Financial and staffing data'!C17</f>
        <v>46290</v>
      </c>
      <c r="G27" s="14">
        <f t="shared" si="6"/>
        <v>44.597831999999997</v>
      </c>
      <c r="H27" s="15">
        <f>'Financial and staffing data'!E17</f>
        <v>362584</v>
      </c>
      <c r="I27" s="23">
        <f>'Financial and staffing data'!G17*'Estimation model'!$B27</f>
        <v>799.5</v>
      </c>
      <c r="J27" s="23">
        <f>'Financial and staffing data'!I17*'Estimation model'!$B27</f>
        <v>1476</v>
      </c>
      <c r="K27" s="35">
        <f t="shared" si="4"/>
        <v>1.8461538461538463</v>
      </c>
    </row>
    <row r="28" spans="1:11" x14ac:dyDescent="0.3">
      <c r="A28" s="7" t="s">
        <v>18</v>
      </c>
      <c r="B28" s="23">
        <f>'Sector volume'!I18/'Estimation model'!$K$5</f>
        <v>502.24218749999994</v>
      </c>
      <c r="C28" s="34">
        <f t="shared" si="0"/>
        <v>4.5859942948110861E-2</v>
      </c>
      <c r="D28" s="34">
        <f t="shared" si="1"/>
        <v>6.0865644724977457E-2</v>
      </c>
      <c r="E28" s="14">
        <f t="shared" si="2"/>
        <v>38.923769531249995</v>
      </c>
      <c r="F28" s="15">
        <f>'Financial and staffing data'!C18</f>
        <v>77500</v>
      </c>
      <c r="G28" s="14">
        <f t="shared" si="6"/>
        <v>92.652132023437488</v>
      </c>
      <c r="H28" s="15">
        <f>'Financial and staffing data'!E18</f>
        <v>184477</v>
      </c>
      <c r="I28" s="23">
        <f>'Financial and staffing data'!G18*'Estimation model'!$B28</f>
        <v>1004.4843749999999</v>
      </c>
      <c r="J28" s="23">
        <f>'Financial and staffing data'!I18*'Estimation model'!$B28</f>
        <v>7533.6328124999991</v>
      </c>
      <c r="K28" s="35">
        <f t="shared" si="4"/>
        <v>7.5</v>
      </c>
    </row>
    <row r="29" spans="1:11" x14ac:dyDescent="0.3">
      <c r="A29" s="7" t="s">
        <v>19</v>
      </c>
      <c r="B29" s="23">
        <f>'Sector volume'!F19</f>
        <v>350</v>
      </c>
      <c r="C29" s="34">
        <f t="shared" si="0"/>
        <v>3.1958645512706559E-2</v>
      </c>
      <c r="D29" s="34">
        <f t="shared" si="1"/>
        <v>4.2415743209031229E-2</v>
      </c>
      <c r="E29" s="14">
        <f t="shared" si="2"/>
        <v>105.226275</v>
      </c>
      <c r="F29" s="15">
        <f>'Financial and staffing data'!C19</f>
        <v>300646.5</v>
      </c>
      <c r="G29" s="35"/>
      <c r="H29" s="23"/>
      <c r="I29" s="23">
        <f>'Financial and staffing data'!G19*'Estimation model'!$B29</f>
        <v>2100</v>
      </c>
      <c r="J29" s="23">
        <f>'Financial and staffing data'!I19*'Estimation model'!$B29</f>
        <v>4900</v>
      </c>
      <c r="K29" s="35">
        <f t="shared" si="4"/>
        <v>2.3333333333333335</v>
      </c>
    </row>
    <row r="30" spans="1:11" x14ac:dyDescent="0.3">
      <c r="A30" s="7" t="s">
        <v>20</v>
      </c>
      <c r="B30" s="23">
        <f>'Sector volume'!F20</f>
        <v>2700</v>
      </c>
      <c r="C30" s="34">
        <f t="shared" si="0"/>
        <v>0.24653812252659346</v>
      </c>
      <c r="D30" s="34"/>
      <c r="E30" s="14">
        <f t="shared" si="2"/>
        <v>47.25</v>
      </c>
      <c r="F30" s="15">
        <f>'Financial and staffing data'!C20</f>
        <v>17500</v>
      </c>
      <c r="G30" s="35"/>
      <c r="H30" s="23"/>
      <c r="I30" s="23">
        <f>'Financial and staffing data'!G20*'Estimation model'!$B30</f>
        <v>5400</v>
      </c>
      <c r="J30" s="23">
        <f>'Financial and staffing data'!I20*'Estimation model'!$B30</f>
        <v>10800</v>
      </c>
      <c r="K30" s="35">
        <f t="shared" si="4"/>
        <v>2</v>
      </c>
    </row>
    <row r="31" spans="1:11" x14ac:dyDescent="0.3">
      <c r="A31" s="7" t="s">
        <v>21</v>
      </c>
      <c r="B31" s="23">
        <f>'Sector volume'!I21/'Estimation model'!$K$5</f>
        <v>245.54062499999998</v>
      </c>
      <c r="C31" s="34">
        <f t="shared" si="0"/>
        <v>2.2420416552409752E-2</v>
      </c>
      <c r="D31" s="34">
        <f t="shared" si="1"/>
        <v>2.9756537421100092E-2</v>
      </c>
      <c r="E31" s="14">
        <f t="shared" si="2"/>
        <v>9.8216249999999992</v>
      </c>
      <c r="F31" s="15">
        <f>'Financial and staffing data'!C21</f>
        <v>40000</v>
      </c>
      <c r="G31" s="35"/>
      <c r="H31" s="23"/>
      <c r="I31" s="23">
        <f>'Financial and staffing data'!G21*'Estimation model'!$B31</f>
        <v>368.31093749999997</v>
      </c>
      <c r="J31" s="23">
        <f>'Financial and staffing data'!I21*'Estimation model'!$B31</f>
        <v>3683.1093749999995</v>
      </c>
      <c r="K31" s="35">
        <f t="shared" si="4"/>
        <v>10</v>
      </c>
    </row>
    <row r="32" spans="1:11" x14ac:dyDescent="0.3">
      <c r="A32" s="50" t="s">
        <v>22</v>
      </c>
      <c r="B32" s="51">
        <f>SUM(B13:B31)</f>
        <v>10951.653124999999</v>
      </c>
      <c r="C32" s="43"/>
      <c r="D32" s="51">
        <f>B33</f>
        <v>8251.6531249999989</v>
      </c>
      <c r="E32" s="54">
        <f>SUM(E13:E31)</f>
        <v>959.39774492031245</v>
      </c>
      <c r="F32" s="43"/>
      <c r="G32" s="54">
        <f>SUM(G13:G31)</f>
        <v>744.13034464921884</v>
      </c>
      <c r="H32" s="55"/>
      <c r="I32" s="51">
        <f>SUM(I13:I31)</f>
        <v>41790.529687499999</v>
      </c>
      <c r="J32" s="51">
        <f>SUM(J13:J31)</f>
        <v>126177.53749999998</v>
      </c>
      <c r="K32" s="49">
        <f t="shared" si="4"/>
        <v>3.0192854324538758</v>
      </c>
    </row>
    <row r="33" spans="1:11" x14ac:dyDescent="0.3">
      <c r="A33" s="7" t="s">
        <v>27</v>
      </c>
      <c r="B33" s="23">
        <f>B32-B30</f>
        <v>8251.6531249999989</v>
      </c>
    </row>
    <row r="35" spans="1:11" x14ac:dyDescent="0.3">
      <c r="H35" s="41" t="s">
        <v>75</v>
      </c>
      <c r="I35" s="41"/>
      <c r="J35" s="41"/>
      <c r="K35" s="41"/>
    </row>
    <row r="36" spans="1:11" x14ac:dyDescent="0.3">
      <c r="H36" s="42"/>
      <c r="I36" s="42"/>
      <c r="J36" s="42"/>
      <c r="K36" s="42"/>
    </row>
    <row r="37" spans="1:11" x14ac:dyDescent="0.3">
      <c r="A37" s="36" t="s">
        <v>0</v>
      </c>
      <c r="B37" s="38" t="s">
        <v>66</v>
      </c>
      <c r="C37" s="39"/>
      <c r="D37" s="40"/>
      <c r="E37" s="38" t="s">
        <v>67</v>
      </c>
      <c r="F37" s="40"/>
      <c r="G37" s="38" t="s">
        <v>68</v>
      </c>
      <c r="H37" s="40"/>
      <c r="I37" s="38" t="s">
        <v>69</v>
      </c>
      <c r="J37" s="39"/>
      <c r="K37" s="40"/>
    </row>
    <row r="38" spans="1:11" x14ac:dyDescent="0.3">
      <c r="A38" s="37"/>
      <c r="B38" s="33" t="s">
        <v>55</v>
      </c>
      <c r="C38" s="33" t="s">
        <v>56</v>
      </c>
      <c r="D38" s="33" t="s">
        <v>63</v>
      </c>
      <c r="E38" s="33" t="s">
        <v>57</v>
      </c>
      <c r="F38" s="33" t="s">
        <v>37</v>
      </c>
      <c r="G38" s="33" t="s">
        <v>57</v>
      </c>
      <c r="H38" s="33" t="s">
        <v>37</v>
      </c>
      <c r="I38" s="33" t="s">
        <v>58</v>
      </c>
      <c r="J38" s="33" t="s">
        <v>40</v>
      </c>
      <c r="K38" s="33" t="s">
        <v>59</v>
      </c>
    </row>
    <row r="39" spans="1:11" x14ac:dyDescent="0.3">
      <c r="A39" s="7" t="s">
        <v>3</v>
      </c>
      <c r="B39" s="23">
        <f>ROUND(B13,-2)</f>
        <v>400</v>
      </c>
      <c r="C39" s="34">
        <f>B39/B$32</f>
        <v>3.6524166300236069E-2</v>
      </c>
      <c r="D39" s="34">
        <f>B39/B$33</f>
        <v>4.8475135096035689E-2</v>
      </c>
      <c r="E39" s="15">
        <f>E13</f>
        <v>58.805997524999988</v>
      </c>
      <c r="F39" s="15">
        <f>ROUND(F13,-2)</f>
        <v>155000</v>
      </c>
      <c r="G39" s="15">
        <f>G13</f>
        <v>15.191777043749997</v>
      </c>
      <c r="H39" s="15">
        <f>ROUND(H13,-2)</f>
        <v>40000</v>
      </c>
      <c r="I39" s="23">
        <f>ROUND(I13,-2)</f>
        <v>1900</v>
      </c>
      <c r="J39" s="23">
        <f>ROUND(J13,-2)</f>
        <v>4600</v>
      </c>
      <c r="K39" s="35">
        <f>J39/I39</f>
        <v>2.4210526315789473</v>
      </c>
    </row>
    <row r="40" spans="1:11" x14ac:dyDescent="0.3">
      <c r="A40" s="7" t="s">
        <v>4</v>
      </c>
      <c r="B40" s="23">
        <f>ROUND(B14,-2)</f>
        <v>1200</v>
      </c>
      <c r="C40" s="34">
        <f t="shared" ref="C40:C57" si="7">B40/B$32</f>
        <v>0.10957249890070821</v>
      </c>
      <c r="D40" s="34">
        <f t="shared" ref="D40:D55" si="8">B40/B$33</f>
        <v>0.14542540528810707</v>
      </c>
      <c r="E40" s="15">
        <f t="shared" ref="E40:E57" si="9">E14</f>
        <v>122.02624999999999</v>
      </c>
      <c r="F40" s="15">
        <f>ROUND(F14,-2)</f>
        <v>100000</v>
      </c>
      <c r="G40" s="15">
        <f t="shared" ref="G40:G43" si="10">G14</f>
        <v>24.461992206249995</v>
      </c>
      <c r="H40" s="15">
        <f>ROUND(H14,-2)</f>
        <v>20000</v>
      </c>
      <c r="I40" s="23">
        <f>ROUND(I14,-2)</f>
        <v>6100</v>
      </c>
      <c r="J40" s="23">
        <f>ROUND(J14,-2)</f>
        <v>9800</v>
      </c>
      <c r="K40" s="35">
        <f t="shared" ref="K40:K58" si="11">J40/I40</f>
        <v>1.6065573770491803</v>
      </c>
    </row>
    <row r="41" spans="1:11" x14ac:dyDescent="0.3">
      <c r="A41" s="7" t="s">
        <v>5</v>
      </c>
      <c r="B41" s="23">
        <f>ROUND(B15,-2)</f>
        <v>400</v>
      </c>
      <c r="C41" s="34">
        <f t="shared" si="7"/>
        <v>3.6524166300236069E-2</v>
      </c>
      <c r="D41" s="34">
        <f t="shared" si="8"/>
        <v>4.8475135096035689E-2</v>
      </c>
      <c r="E41" s="15">
        <f t="shared" si="9"/>
        <v>64.427999999999997</v>
      </c>
      <c r="F41" s="15">
        <f>ROUND(F15,-2)</f>
        <v>156000</v>
      </c>
      <c r="G41" s="15">
        <f t="shared" si="10"/>
        <v>12.720813</v>
      </c>
      <c r="H41" s="15">
        <f>ROUND(H15,-2)</f>
        <v>30800</v>
      </c>
      <c r="I41" s="23">
        <f>ROUND(I15,-2)</f>
        <v>400</v>
      </c>
      <c r="J41" s="23">
        <f>ROUND(J15,-2)</f>
        <v>5900</v>
      </c>
      <c r="K41" s="35">
        <f t="shared" si="11"/>
        <v>14.75</v>
      </c>
    </row>
    <row r="42" spans="1:11" x14ac:dyDescent="0.3">
      <c r="A42" s="7" t="s">
        <v>6</v>
      </c>
      <c r="B42" s="23">
        <f>ROUND(B16,-2)</f>
        <v>2100</v>
      </c>
      <c r="C42" s="34">
        <f t="shared" si="7"/>
        <v>0.19175187307623937</v>
      </c>
      <c r="D42" s="34">
        <f t="shared" si="8"/>
        <v>0.25449445925418734</v>
      </c>
      <c r="E42" s="15">
        <f t="shared" si="9"/>
        <v>234.49129687499996</v>
      </c>
      <c r="F42" s="15">
        <f>ROUND(F16,-2)</f>
        <v>110000</v>
      </c>
      <c r="G42" s="15">
        <f t="shared" si="10"/>
        <v>228.9935418328125</v>
      </c>
      <c r="H42" s="15">
        <f>ROUND(H16,-2)</f>
        <v>107400</v>
      </c>
      <c r="I42" s="23">
        <f>ROUND(I16,-2)</f>
        <v>10700</v>
      </c>
      <c r="J42" s="23">
        <f>ROUND(J16,-2)</f>
        <v>40500</v>
      </c>
      <c r="K42" s="35">
        <f t="shared" si="11"/>
        <v>3.7850467289719627</v>
      </c>
    </row>
    <row r="43" spans="1:11" x14ac:dyDescent="0.3">
      <c r="A43" s="7" t="s">
        <v>7</v>
      </c>
      <c r="B43" s="23">
        <f>ROUND(B17,-2)</f>
        <v>200</v>
      </c>
      <c r="C43" s="34">
        <f t="shared" si="7"/>
        <v>1.8262083150118034E-2</v>
      </c>
      <c r="D43" s="34">
        <f t="shared" si="8"/>
        <v>2.4237567548017844E-2</v>
      </c>
      <c r="E43" s="15">
        <f t="shared" si="9"/>
        <v>15.005348464062498</v>
      </c>
      <c r="F43" s="15">
        <f>ROUND(F17,-2)</f>
        <v>93800</v>
      </c>
      <c r="G43" s="15">
        <f t="shared" si="10"/>
        <v>3.9675012234374996</v>
      </c>
      <c r="H43" s="15">
        <f>ROUND(H17,-2)</f>
        <v>24800</v>
      </c>
      <c r="I43" s="23">
        <f>ROUND(I17,-2)</f>
        <v>3000</v>
      </c>
      <c r="J43" s="23">
        <f>ROUND(J17,-2)</f>
        <v>1600</v>
      </c>
      <c r="K43" s="35">
        <f t="shared" si="11"/>
        <v>0.53333333333333333</v>
      </c>
    </row>
    <row r="44" spans="1:11" x14ac:dyDescent="0.3">
      <c r="A44" s="7" t="s">
        <v>8</v>
      </c>
      <c r="B44" s="23">
        <f>ROUND(B18,-2)</f>
        <v>100</v>
      </c>
      <c r="C44" s="34">
        <f t="shared" si="7"/>
        <v>9.1310415750590172E-3</v>
      </c>
      <c r="D44" s="34">
        <f t="shared" si="8"/>
        <v>1.2118783774008922E-2</v>
      </c>
      <c r="E44" s="15">
        <f t="shared" si="9"/>
        <v>1.0416875000000001</v>
      </c>
      <c r="F44" s="15">
        <f>ROUND(F18,-2)</f>
        <v>11200</v>
      </c>
      <c r="G44" s="15"/>
      <c r="H44" s="15"/>
      <c r="I44" s="23">
        <f>ROUND(I18,-2)</f>
        <v>100</v>
      </c>
      <c r="J44" s="23">
        <f>ROUND(J18,-2)</f>
        <v>600</v>
      </c>
      <c r="K44" s="35">
        <f t="shared" si="11"/>
        <v>6</v>
      </c>
    </row>
    <row r="45" spans="1:11" x14ac:dyDescent="0.3">
      <c r="A45" s="7" t="s">
        <v>9</v>
      </c>
      <c r="B45" s="23">
        <f>ROUND(B19,-2)</f>
        <v>100</v>
      </c>
      <c r="C45" s="34">
        <f t="shared" si="7"/>
        <v>9.1310415750590172E-3</v>
      </c>
      <c r="D45" s="34">
        <f t="shared" si="8"/>
        <v>1.2118783774008922E-2</v>
      </c>
      <c r="E45" s="15">
        <f t="shared" si="9"/>
        <v>7.4406249999999998</v>
      </c>
      <c r="F45" s="15">
        <f>ROUND(F19,-2)</f>
        <v>80000</v>
      </c>
      <c r="G45" s="15"/>
      <c r="H45" s="15"/>
      <c r="I45" s="23">
        <f>ROUND(I19,-2)</f>
        <v>400</v>
      </c>
      <c r="J45" s="23">
        <f>ROUND(J19,-2)</f>
        <v>800</v>
      </c>
      <c r="K45" s="35">
        <f t="shared" si="11"/>
        <v>2</v>
      </c>
    </row>
    <row r="46" spans="1:11" x14ac:dyDescent="0.3">
      <c r="A46" s="7" t="s">
        <v>10</v>
      </c>
      <c r="B46" s="23">
        <f>ROUND(B20,-2)</f>
        <v>300</v>
      </c>
      <c r="C46" s="34">
        <f t="shared" si="7"/>
        <v>2.7393124725177052E-2</v>
      </c>
      <c r="D46" s="34">
        <f t="shared" si="8"/>
        <v>3.6356351322026768E-2</v>
      </c>
      <c r="E46" s="15">
        <f t="shared" si="9"/>
        <v>37.468000000000004</v>
      </c>
      <c r="F46" s="15">
        <f>ROUND(F20,-2)</f>
        <v>116000</v>
      </c>
      <c r="G46" s="15"/>
      <c r="H46" s="15"/>
      <c r="I46" s="23">
        <f>ROUND(I20,-2)</f>
        <v>400</v>
      </c>
      <c r="J46" s="23">
        <f>ROUND(J20,-2)</f>
        <v>1900</v>
      </c>
      <c r="K46" s="35">
        <f t="shared" si="11"/>
        <v>4.75</v>
      </c>
    </row>
    <row r="47" spans="1:11" x14ac:dyDescent="0.3">
      <c r="A47" s="7" t="s">
        <v>11</v>
      </c>
      <c r="B47" s="23">
        <f>ROUND(B21,-2)</f>
        <v>300</v>
      </c>
      <c r="C47" s="34">
        <f t="shared" si="7"/>
        <v>2.7393124725177052E-2</v>
      </c>
      <c r="D47" s="34">
        <f t="shared" si="8"/>
        <v>3.6356351322026768E-2</v>
      </c>
      <c r="E47" s="15">
        <f t="shared" si="9"/>
        <v>17.671484374999999</v>
      </c>
      <c r="F47" s="15">
        <f>ROUND(F21,-2)</f>
        <v>62500</v>
      </c>
      <c r="G47" s="15">
        <f t="shared" ref="G47" si="12">G21</f>
        <v>3.9456890312499997</v>
      </c>
      <c r="H47" s="15">
        <f>ROUND(H21,-2)</f>
        <v>14000</v>
      </c>
      <c r="I47" s="23">
        <f>ROUND(I21,-2)</f>
        <v>800</v>
      </c>
      <c r="J47" s="23">
        <f>ROUND(J21,-2)</f>
        <v>4200</v>
      </c>
      <c r="K47" s="35">
        <f t="shared" si="11"/>
        <v>5.25</v>
      </c>
    </row>
    <row r="48" spans="1:11" x14ac:dyDescent="0.3">
      <c r="A48" s="7" t="s">
        <v>12</v>
      </c>
      <c r="B48" s="23">
        <f>ROUND(B22,-2)</f>
        <v>100</v>
      </c>
      <c r="C48" s="34">
        <f t="shared" si="7"/>
        <v>9.1310415750590172E-3</v>
      </c>
      <c r="D48" s="34">
        <f t="shared" si="8"/>
        <v>1.2118783774008922E-2</v>
      </c>
      <c r="E48" s="15">
        <f t="shared" si="9"/>
        <v>14.60541115</v>
      </c>
      <c r="F48" s="15">
        <f>ROUND(F22,-2)</f>
        <v>122700</v>
      </c>
      <c r="G48" s="15"/>
      <c r="H48" s="15"/>
      <c r="I48" s="23">
        <f>ROUND(I22,-2)</f>
        <v>400</v>
      </c>
      <c r="J48" s="23">
        <f>ROUND(J22,-2)</f>
        <v>1000</v>
      </c>
      <c r="K48" s="35">
        <f t="shared" si="11"/>
        <v>2.5</v>
      </c>
    </row>
    <row r="49" spans="1:11" x14ac:dyDescent="0.3">
      <c r="A49" s="7" t="s">
        <v>13</v>
      </c>
      <c r="B49" s="23">
        <f>ROUND(B23,-2)</f>
        <v>300</v>
      </c>
      <c r="C49" s="34">
        <f t="shared" si="7"/>
        <v>2.7393124725177052E-2</v>
      </c>
      <c r="D49" s="34">
        <f t="shared" si="8"/>
        <v>3.6356351322026768E-2</v>
      </c>
      <c r="E49" s="15">
        <f t="shared" si="9"/>
        <v>16.662991999999999</v>
      </c>
      <c r="F49" s="15">
        <f>ROUND(F23,-2)</f>
        <v>61300</v>
      </c>
      <c r="G49" s="15">
        <f t="shared" ref="G49:G51" si="13">G23</f>
        <v>6.8429760000000002</v>
      </c>
      <c r="H49" s="15">
        <f>ROUND(H23,-2)</f>
        <v>25200</v>
      </c>
      <c r="I49" s="23">
        <f>ROUND(I23,-2)</f>
        <v>800</v>
      </c>
      <c r="J49" s="23">
        <f>ROUND(J23,-2)</f>
        <v>5400</v>
      </c>
      <c r="K49" s="35">
        <f t="shared" si="11"/>
        <v>6.75</v>
      </c>
    </row>
    <row r="50" spans="1:11" x14ac:dyDescent="0.3">
      <c r="A50" s="7" t="s">
        <v>14</v>
      </c>
      <c r="B50" s="23">
        <f>ROUND(B24,-2)</f>
        <v>600</v>
      </c>
      <c r="C50" s="34">
        <f t="shared" si="7"/>
        <v>5.4786249450354103E-2</v>
      </c>
      <c r="D50" s="34">
        <f t="shared" si="8"/>
        <v>7.2712702644053537E-2</v>
      </c>
      <c r="E50" s="15">
        <f t="shared" si="9"/>
        <v>128.72281249999997</v>
      </c>
      <c r="F50" s="15">
        <f>ROUND(F24,-2)</f>
        <v>200000</v>
      </c>
      <c r="G50" s="15">
        <f t="shared" si="13"/>
        <v>15.418740288281249</v>
      </c>
      <c r="H50" s="15">
        <f>ROUND(H24,-2)</f>
        <v>24000</v>
      </c>
      <c r="I50" s="23">
        <f>ROUND(I24,-2)</f>
        <v>5800</v>
      </c>
      <c r="J50" s="23">
        <f>ROUND(J24,-2)</f>
        <v>8400</v>
      </c>
      <c r="K50" s="35">
        <f t="shared" si="11"/>
        <v>1.4482758620689655</v>
      </c>
    </row>
    <row r="51" spans="1:11" x14ac:dyDescent="0.3">
      <c r="A51" s="7" t="s">
        <v>15</v>
      </c>
      <c r="B51" s="23">
        <f>ROUND(B25,-2)</f>
        <v>600</v>
      </c>
      <c r="C51" s="34">
        <f t="shared" si="7"/>
        <v>5.4786249450354103E-2</v>
      </c>
      <c r="D51" s="34">
        <f t="shared" si="8"/>
        <v>7.2712702644053537E-2</v>
      </c>
      <c r="E51" s="15">
        <f t="shared" si="9"/>
        <v>21.862500000000001</v>
      </c>
      <c r="F51" s="15">
        <f>ROUND(F25,-2)</f>
        <v>39800</v>
      </c>
      <c r="G51" s="15">
        <f t="shared" si="13"/>
        <v>295.33735000000001</v>
      </c>
      <c r="H51" s="15">
        <f>ROUND(H25,-2)</f>
        <v>537000</v>
      </c>
      <c r="I51" s="23">
        <f>ROUND(I25,-2)</f>
        <v>600</v>
      </c>
      <c r="J51" s="23">
        <f>ROUND(J25,-2)</f>
        <v>4400</v>
      </c>
      <c r="K51" s="35">
        <f t="shared" si="11"/>
        <v>7.333333333333333</v>
      </c>
    </row>
    <row r="52" spans="1:11" x14ac:dyDescent="0.3">
      <c r="A52" s="7" t="s">
        <v>16</v>
      </c>
      <c r="B52" s="23">
        <f>ROUND(B26,-2)</f>
        <v>400</v>
      </c>
      <c r="C52" s="34">
        <f t="shared" si="7"/>
        <v>3.6524166300236069E-2</v>
      </c>
      <c r="D52" s="34">
        <f t="shared" si="8"/>
        <v>4.8475135096035689E-2</v>
      </c>
      <c r="E52" s="15">
        <f t="shared" si="9"/>
        <v>12.25</v>
      </c>
      <c r="F52" s="15">
        <f>ROUND(F26,-2)</f>
        <v>35000</v>
      </c>
      <c r="G52" s="15"/>
      <c r="H52" s="15"/>
      <c r="I52" s="23">
        <f>ROUND(I26,-2)</f>
        <v>700</v>
      </c>
      <c r="J52" s="23">
        <f>ROUND(J26,-2)</f>
        <v>8800</v>
      </c>
      <c r="K52" s="35">
        <f t="shared" si="11"/>
        <v>12.571428571428571</v>
      </c>
    </row>
    <row r="53" spans="1:11" x14ac:dyDescent="0.3">
      <c r="A53" s="7" t="s">
        <v>17</v>
      </c>
      <c r="B53" s="23">
        <f>ROUND(B27,-2)</f>
        <v>100</v>
      </c>
      <c r="C53" s="34">
        <f t="shared" si="7"/>
        <v>9.1310415750590172E-3</v>
      </c>
      <c r="D53" s="34">
        <f t="shared" si="8"/>
        <v>1.2118783774008922E-2</v>
      </c>
      <c r="E53" s="15">
        <f t="shared" si="9"/>
        <v>5.69367</v>
      </c>
      <c r="F53" s="15">
        <f>ROUND(F27,-2)</f>
        <v>46300</v>
      </c>
      <c r="G53" s="15">
        <f t="shared" ref="G53:G54" si="14">G27</f>
        <v>44.597831999999997</v>
      </c>
      <c r="H53" s="15">
        <f>ROUND(H27,-2)</f>
        <v>362600</v>
      </c>
      <c r="I53" s="23">
        <f>ROUND(I27,-2)</f>
        <v>800</v>
      </c>
      <c r="J53" s="23">
        <f>ROUND(J27,-2)</f>
        <v>1500</v>
      </c>
      <c r="K53" s="35">
        <f t="shared" si="11"/>
        <v>1.875</v>
      </c>
    </row>
    <row r="54" spans="1:11" x14ac:dyDescent="0.3">
      <c r="A54" s="7" t="s">
        <v>18</v>
      </c>
      <c r="B54" s="23">
        <f>ROUND(B28,-2)</f>
        <v>500</v>
      </c>
      <c r="C54" s="34">
        <f t="shared" si="7"/>
        <v>4.565520787529509E-2</v>
      </c>
      <c r="D54" s="34">
        <f t="shared" si="8"/>
        <v>6.0593918870044609E-2</v>
      </c>
      <c r="E54" s="15">
        <f t="shared" si="9"/>
        <v>38.923769531249995</v>
      </c>
      <c r="F54" s="15">
        <f>ROUND(F28,-2)</f>
        <v>77500</v>
      </c>
      <c r="G54" s="15">
        <f t="shared" si="14"/>
        <v>92.652132023437488</v>
      </c>
      <c r="H54" s="15">
        <f>ROUND(H28,-2)</f>
        <v>184500</v>
      </c>
      <c r="I54" s="23">
        <f>ROUND(I28,-2)</f>
        <v>1000</v>
      </c>
      <c r="J54" s="23">
        <f>ROUND(J28,-2)</f>
        <v>7500</v>
      </c>
      <c r="K54" s="35">
        <f t="shared" si="11"/>
        <v>7.5</v>
      </c>
    </row>
    <row r="55" spans="1:11" x14ac:dyDescent="0.3">
      <c r="A55" s="7" t="s">
        <v>19</v>
      </c>
      <c r="B55" s="23">
        <f>ROUND(B29,-2)</f>
        <v>400</v>
      </c>
      <c r="C55" s="34">
        <f t="shared" si="7"/>
        <v>3.6524166300236069E-2</v>
      </c>
      <c r="D55" s="34">
        <f t="shared" si="8"/>
        <v>4.8475135096035689E-2</v>
      </c>
      <c r="E55" s="15">
        <f t="shared" si="9"/>
        <v>105.226275</v>
      </c>
      <c r="F55" s="15">
        <f>ROUND(F29,-2)</f>
        <v>300600</v>
      </c>
      <c r="G55" s="15"/>
      <c r="H55" s="15"/>
      <c r="I55" s="23">
        <f>ROUND(I29,-2)</f>
        <v>2100</v>
      </c>
      <c r="J55" s="23">
        <f>ROUND(J29,-2)</f>
        <v>4900</v>
      </c>
      <c r="K55" s="35">
        <f t="shared" si="11"/>
        <v>2.3333333333333335</v>
      </c>
    </row>
    <row r="56" spans="1:11" x14ac:dyDescent="0.3">
      <c r="A56" s="7" t="s">
        <v>20</v>
      </c>
      <c r="B56" s="23">
        <f>ROUND(B30,-2)</f>
        <v>2700</v>
      </c>
      <c r="C56" s="34">
        <f t="shared" si="7"/>
        <v>0.24653812252659346</v>
      </c>
      <c r="D56" s="34"/>
      <c r="E56" s="15">
        <f t="shared" si="9"/>
        <v>47.25</v>
      </c>
      <c r="F56" s="15">
        <f>ROUND(F30,-2)</f>
        <v>17500</v>
      </c>
      <c r="G56" s="15"/>
      <c r="H56" s="15"/>
      <c r="I56" s="23">
        <f>ROUND(I30,-2)</f>
        <v>5400</v>
      </c>
      <c r="J56" s="23">
        <f>ROUND(J30,-2)</f>
        <v>10800</v>
      </c>
      <c r="K56" s="35">
        <f t="shared" si="11"/>
        <v>2</v>
      </c>
    </row>
    <row r="57" spans="1:11" x14ac:dyDescent="0.3">
      <c r="A57" s="7" t="s">
        <v>21</v>
      </c>
      <c r="B57" s="23">
        <f>ROUND(B31,-2)</f>
        <v>200</v>
      </c>
      <c r="C57" s="34">
        <f t="shared" si="7"/>
        <v>1.8262083150118034E-2</v>
      </c>
      <c r="D57" s="34">
        <f t="shared" ref="D57" si="15">B57/B$33</f>
        <v>2.4237567548017844E-2</v>
      </c>
      <c r="E57" s="15">
        <f t="shared" si="9"/>
        <v>9.8216249999999992</v>
      </c>
      <c r="F57" s="15">
        <f>ROUND(F31,-2)</f>
        <v>40000</v>
      </c>
      <c r="G57" s="15"/>
      <c r="H57" s="15"/>
      <c r="I57" s="23">
        <f>ROUND(I31,-2)</f>
        <v>400</v>
      </c>
      <c r="J57" s="23">
        <f>ROUND(J31,-2)</f>
        <v>3700</v>
      </c>
      <c r="K57" s="35">
        <f t="shared" si="11"/>
        <v>9.25</v>
      </c>
    </row>
    <row r="58" spans="1:11" x14ac:dyDescent="0.3">
      <c r="A58" s="50" t="s">
        <v>22</v>
      </c>
      <c r="B58" s="51">
        <f>SUM(B39:B57)</f>
        <v>11000</v>
      </c>
      <c r="C58" s="43"/>
      <c r="D58" s="51">
        <f>B59</f>
        <v>8300</v>
      </c>
      <c r="E58" s="52">
        <f>E32</f>
        <v>959.39774492031245</v>
      </c>
      <c r="F58" s="43"/>
      <c r="G58" s="52">
        <f>G32</f>
        <v>744.13034464921884</v>
      </c>
      <c r="H58" s="53"/>
      <c r="I58" s="51">
        <f>ROUND(I32,-2)</f>
        <v>41800</v>
      </c>
      <c r="J58" s="51">
        <f>ROUND(J32,-2)</f>
        <v>126200</v>
      </c>
      <c r="K58" s="49">
        <f t="shared" si="11"/>
        <v>3.0191387559808613</v>
      </c>
    </row>
    <row r="59" spans="1:11" x14ac:dyDescent="0.3">
      <c r="A59" s="7" t="s">
        <v>27</v>
      </c>
      <c r="B59" s="23">
        <f>B58-B56</f>
        <v>8300</v>
      </c>
    </row>
  </sheetData>
  <mergeCells count="17">
    <mergeCell ref="H9:K10"/>
    <mergeCell ref="H35:K36"/>
    <mergeCell ref="A37:A38"/>
    <mergeCell ref="B37:D37"/>
    <mergeCell ref="E37:F37"/>
    <mergeCell ref="G37:H37"/>
    <mergeCell ref="I37:K37"/>
    <mergeCell ref="A11:A12"/>
    <mergeCell ref="B11:D11"/>
    <mergeCell ref="E11:F11"/>
    <mergeCell ref="G11:H11"/>
    <mergeCell ref="I11:K11"/>
    <mergeCell ref="A1:F2"/>
    <mergeCell ref="A3:F4"/>
    <mergeCell ref="A5:F6"/>
    <mergeCell ref="A7:F8"/>
    <mergeCell ref="G1:I3"/>
  </mergeCells>
  <dataValidations count="1">
    <dataValidation type="list" allowBlank="1" showInputMessage="1" showErrorMessage="1" sqref="K5" xr:uid="{1E80DDF2-09C4-4C4B-9E63-4FBB4FAEC594}">
      <formula1>$K$1:$K$3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DBA4E7DEC9942AF7CCDB8CE071EA9" ma:contentTypeVersion="14" ma:contentTypeDescription="Create a new document." ma:contentTypeScope="" ma:versionID="ca33026b6e48e2b9b28df5f31ed002a0">
  <xsd:schema xmlns:xsd="http://www.w3.org/2001/XMLSchema" xmlns:xs="http://www.w3.org/2001/XMLSchema" xmlns:p="http://schemas.microsoft.com/office/2006/metadata/properties" xmlns:ns2="23c79702-a7d5-4f12-8e48-7fdc2c080759" xmlns:ns3="f23430c1-57db-48d9-8ac7-42da6b88ce61" targetNamespace="http://schemas.microsoft.com/office/2006/metadata/properties" ma:root="true" ma:fieldsID="1cb94ea7fece14a473a04f46fca57bd7" ns2:_="" ns3:_="">
    <xsd:import namespace="23c79702-a7d5-4f12-8e48-7fdc2c080759"/>
    <xsd:import namespace="f23430c1-57db-48d9-8ac7-42da6b88c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79702-a7d5-4f12-8e48-7fdc2c0807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114e8db-fdfd-451f-afca-143e529666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430c1-57db-48d9-8ac7-42da6b88ce6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0ef2789-84e6-4961-b719-81d9da5b77c5}" ma:internalName="TaxCatchAll" ma:showField="CatchAllData" ma:web="f23430c1-57db-48d9-8ac7-42da6b88c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3430c1-57db-48d9-8ac7-42da6b88ce61" xsi:nil="true"/>
    <lcf76f155ced4ddcb4097134ff3c332f xmlns="23c79702-a7d5-4f12-8e48-7fdc2c08075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E28CA6-69F4-4EBE-B039-F49BBBEFBE15}"/>
</file>

<file path=customXml/itemProps2.xml><?xml version="1.0" encoding="utf-8"?>
<ds:datastoreItem xmlns:ds="http://schemas.openxmlformats.org/officeDocument/2006/customXml" ds:itemID="{D4FB0F4A-EFF0-450E-852E-F24918E0F560}"/>
</file>

<file path=customXml/itemProps3.xml><?xml version="1.0" encoding="utf-8"?>
<ds:datastoreItem xmlns:ds="http://schemas.openxmlformats.org/officeDocument/2006/customXml" ds:itemID="{7038481B-657D-472D-BE0D-9928EB650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first</vt:lpstr>
      <vt:lpstr>Sector volume</vt:lpstr>
      <vt:lpstr>Financial and staffing data</vt:lpstr>
      <vt:lpstr>Estimation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Higton</dc:creator>
  <cp:lastModifiedBy>John Higton</cp:lastModifiedBy>
  <dcterms:created xsi:type="dcterms:W3CDTF">2022-11-21T12:54:37Z</dcterms:created>
  <dcterms:modified xsi:type="dcterms:W3CDTF">2022-11-21T19:34:27Z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0x010100338DBA4E7DEC9942AF7CCDB8CE071EA9</vt:lpwstr>
  </property>
</Properties>
</file>